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лги" sheetId="1" state="visible" r:id="rId1"/>
    <sheet name="Снежный ком" sheetId="2" state="visible" r:id="rId2"/>
    <sheet name="Лавина" sheetId="3" state="visible" r:id="rId3"/>
    <sheet name="Как пользоватьс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-#,##0;;@"/>
    <numFmt numFmtId="165" formatCode="mmm yyyy"/>
    <numFmt numFmtId="166" formatCode="0.0##"/>
    <numFmt numFmtId="167" formatCode="#,##0.00;-#,##0.00;;@"/>
  </numFmts>
  <fonts count="12">
    <font>
      <name val="Calibri"/>
      <family val="2"/>
      <color theme="1"/>
      <sz val="11"/>
      <scheme val="minor"/>
    </font>
    <font>
      <b val="1"/>
      <sz val="14"/>
    </font>
    <font>
      <color rgb="006B7780"/>
      <sz val="10"/>
    </font>
    <font>
      <b val="1"/>
    </font>
    <font>
      <color rgb="00B3261E"/>
    </font>
    <font/>
    <font>
      <b val="1"/>
      <color rgb="001B7F4B"/>
    </font>
    <font>
      <i val="1"/>
    </font>
    <font>
      <b val="1"/>
      <sz val="13"/>
    </font>
    <font>
      <color rgb="002F8F5B"/>
      <sz val="8"/>
    </font>
    <font>
      <b val="1"/>
      <sz val="12"/>
    </font>
    <font>
      <color rgb="000B6BCB"/>
      <u val="single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8EEF0"/>
      </patternFill>
    </fill>
  </fills>
  <borders count="2">
    <border>
      <left/>
      <right/>
      <top/>
      <bottom/>
      <diagonal/>
    </border>
    <border>
      <left style="thin">
        <color rgb="00C9D1D4"/>
      </left>
      <right style="thin">
        <color rgb="00C9D1D4"/>
      </right>
      <top style="thin">
        <color rgb="00C9D1D4"/>
      </top>
      <bottom style="thin">
        <color rgb="00C9D1D4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4" fontId="0" fillId="2" borderId="1" pivotButton="0" quotePrefix="0" xfId="0"/>
    <xf numFmtId="166" fontId="0" fillId="2" borderId="1" pivotButton="0" quotePrefix="0" xfId="0"/>
    <xf numFmtId="4" fontId="0" fillId="0" borderId="1" pivotButton="0" quotePrefix="0" xfId="0"/>
    <xf numFmtId="1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0" fontId="4" fillId="0" borderId="1" pivotButton="0" quotePrefix="0" xfId="0"/>
    <xf numFmtId="164" fontId="3" fillId="0" borderId="0" pivotButton="0" quotePrefix="0" xfId="0"/>
    <xf numFmtId="0" fontId="3" fillId="3" borderId="1" applyAlignment="1" pivotButton="0" quotePrefix="0" xfId="0">
      <alignment horizontal="left" wrapText="1"/>
    </xf>
    <xf numFmtId="0" fontId="0" fillId="3" borderId="1" pivotButton="0" quotePrefix="0" xfId="0"/>
    <xf numFmtId="0" fontId="3" fillId="3" borderId="1" applyAlignment="1" pivotButton="0" quotePrefix="0" xfId="0">
      <alignment horizontal="center" wrapText="1"/>
    </xf>
    <xf numFmtId="0" fontId="0" fillId="0" borderId="1" pivotButton="0" quotePrefix="0" xfId="0"/>
    <xf numFmtId="1" fontId="3" fillId="0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center"/>
    </xf>
    <xf numFmtId="1" fontId="5" fillId="0" borderId="1" applyAlignment="1" pivotButton="0" quotePrefix="0" xfId="0">
      <alignment horizontal="center"/>
    </xf>
    <xf numFmtId="164" fontId="6" fillId="0" borderId="0" pivotButton="0" quotePrefix="0" xfId="0"/>
    <xf numFmtId="1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3" fillId="0" borderId="0" pivotButton="0" quotePrefix="0" xfId="0"/>
    <xf numFmtId="1" fontId="0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167" fontId="0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pogashu.ru/?utm_source=xlsx&amp;utm_medium=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2" customWidth="1" min="3" max="3"/>
    <col width="16" customWidth="1" min="4" max="4"/>
    <col width="16" customWidth="1" min="5" max="5"/>
    <col width="13" customWidth="1" min="6" max="6"/>
    <col width="13" customWidth="1" min="7" max="7"/>
    <col width="15" customWidth="1" min="8" max="8"/>
    <col width="15" customWidth="1" min="9" max="9"/>
    <col width="30" customWidth="1" min="10" max="10"/>
    <col hidden="1" width="13" customWidth="1" min="12" max="12"/>
    <col hidden="1" width="13" customWidth="1" min="13" max="13"/>
  </cols>
  <sheetData>
    <row r="1">
      <c r="A1" s="1" t="inlineStr">
        <is>
          <t>Таблица погашения долгов: снежный ком и лавина</t>
        </is>
      </c>
    </row>
    <row r="2">
      <c r="A2" s="2" t="inlineStr">
        <is>
          <t>Заполните жёлтые ячейки — порядок, сроки и переплата посчитаются сами. Расчёт как в приложении Погашу: pogashu.ru</t>
        </is>
      </c>
    </row>
    <row r="4">
      <c r="A4" t="inlineStr">
        <is>
          <t>Доплата в месяц сверх минимальных платежей</t>
        </is>
      </c>
      <c r="D4" s="3" t="n">
        <v>8000</v>
      </c>
    </row>
    <row r="5">
      <c r="A5" t="inlineStr">
        <is>
          <t>Месяц первого платежа</t>
        </is>
      </c>
      <c r="D5" s="4">
        <f>DATE(YEAR(TODAY()),MONTH(TODAY())+1,1)</f>
        <v>46296</v>
      </c>
    </row>
    <row r="7" ht="34" customHeight="1">
      <c r="A7" s="5" t="inlineStr">
        <is>
          <t>Долг</t>
        </is>
      </c>
      <c r="B7" s="6" t="inlineStr">
        <is>
          <t>Остаток</t>
        </is>
      </c>
      <c r="C7" s="6" t="inlineStr">
        <is>
          <t>Ставка, % годовых</t>
        </is>
      </c>
      <c r="D7" s="6" t="inlineStr">
        <is>
          <t>Мин. платёж в месяц</t>
        </is>
      </c>
      <c r="E7" s="6" t="inlineStr">
        <is>
          <t>Проценты в месяц</t>
        </is>
      </c>
      <c r="F7" s="6" t="inlineStr">
        <is>
          <t>Очередь: снежный ком</t>
        </is>
      </c>
      <c r="G7" s="6" t="inlineStr">
        <is>
          <t>Очередь: лавина</t>
        </is>
      </c>
      <c r="H7" s="6" t="inlineStr">
        <is>
          <t>Закроется: снежный ком</t>
        </is>
      </c>
      <c r="I7" s="6" t="inlineStr">
        <is>
          <t>Закроется: лавина</t>
        </is>
      </c>
      <c r="J7" s="6" t="inlineStr">
        <is>
          <t>Проверка</t>
        </is>
      </c>
    </row>
    <row r="8">
      <c r="A8" s="7" t="inlineStr">
        <is>
          <t>Рассрочка на технику</t>
        </is>
      </c>
      <c r="B8" s="8" t="n">
        <v>40000</v>
      </c>
      <c r="C8" s="9" t="n">
        <v>0</v>
      </c>
      <c r="D8" s="8" t="n">
        <v>4000</v>
      </c>
      <c r="E8" s="10">
        <f>IF(B8&gt;0,ROUND(B8*C8/1200,2),"")</f>
        <v>0.0</v>
      </c>
      <c r="F8" s="11">
        <f>IF(B8&gt;0,COUNTIFS($B$8:$B$17,"&gt;0",$L$8:$L$17,"&lt;"&amp;L8)+1,"")</f>
        <v>1</v>
      </c>
      <c r="G8" s="11">
        <f>IF(B8&gt;0,COUNTIFS($B$8:$B$17,"&gt;0",$M$8:$M$17,"&gt;"&amp;M8)+1,"")</f>
        <v>3</v>
      </c>
      <c r="H8" s="12">
        <f>IF(B8&gt;0,IF(ISNUMBER(INDEX('Снежный ком'!$R$3:$AA$3,1,F8)),EDATE($D$5,INDEX('Снежный ком'!$R$3:$AA$3,1,F8)-1),"более 30 лет"),"")</f>
        <v>46388</v>
      </c>
      <c r="I8" s="12">
        <f>IF(B8&gt;0,IF(ISNUMBER(INDEX(Лавина!$R$3:$AA$3,1,G8)),EDATE($D$5,INDEX(Лавина!$R$3:$AA$3,1,G8)-1),"более 30 лет"),"")</f>
        <v>46569</v>
      </c>
      <c r="J8" s="13" t="str">
        <f>IF(B8&gt;0,IF(D8&lt;=E8,"платёж не покрывает проценты",""),"")</f>
        <v/>
      </c>
      <c r="L8">
        <f>B8+ROW()/10000</f>
        <v>40000.0008</v>
      </c>
      <c r="M8">
        <f>C8-ROW()/100000</f>
        <v>-8e-05</v>
      </c>
    </row>
    <row r="9">
      <c r="A9" s="7" t="inlineStr">
        <is>
          <t>Потребкредит</t>
        </is>
      </c>
      <c r="B9" s="8" t="n">
        <v>180000</v>
      </c>
      <c r="C9" s="9" t="n">
        <v>19</v>
      </c>
      <c r="D9" s="8" t="n">
        <v>6500</v>
      </c>
      <c r="E9" s="10">
        <f>IF(B9&gt;0,ROUND(B9*C9/1200,2),"")</f>
        <v>2850.0</v>
      </c>
      <c r="F9" s="11">
        <f>IF(B9&gt;0,COUNTIFS($B$8:$B$17,"&gt;0",$L$8:$L$17,"&lt;"&amp;L9)+1,"")</f>
        <v>2</v>
      </c>
      <c r="G9" s="11">
        <f>IF(B9&gt;0,COUNTIFS($B$8:$B$17,"&gt;0",$M$8:$M$17,"&gt;"&amp;M9)+1,"")</f>
        <v>2</v>
      </c>
      <c r="H9" s="12">
        <f>IF(B9&gt;0,IF(ISNUMBER(INDEX('Снежный ком'!$R$3:$AA$3,1,F9)),EDATE($D$5,INDEX('Снежный ком'!$R$3:$AA$3,1,F9)-1),"более 30 лет"),"")</f>
        <v>46692</v>
      </c>
      <c r="I9" s="12">
        <f>IF(B9&gt;0,IF(ISNUMBER(INDEX(Лавина!$R$3:$AA$3,1,G9)),EDATE($D$5,INDEX(Лавина!$R$3:$AA$3,1,G9)-1),"более 30 лет"),"")</f>
        <v>46844</v>
      </c>
      <c r="J9" s="13" t="str">
        <f>IF(B9&gt;0,IF(D9&lt;=E9,"платёж не покрывает проценты",""),"")</f>
        <v/>
      </c>
      <c r="L9">
        <f>B9+ROW()/10000</f>
        <v>180000.0009</v>
      </c>
      <c r="M9">
        <f>C9-ROW()/100000</f>
        <v>18.99991</v>
      </c>
    </row>
    <row r="10">
      <c r="A10" s="7" t="inlineStr">
        <is>
          <t>Кредитная карта</t>
        </is>
      </c>
      <c r="B10" s="8" t="n">
        <v>250000</v>
      </c>
      <c r="C10" s="9" t="n">
        <v>39.9</v>
      </c>
      <c r="D10" s="8" t="n">
        <v>12500</v>
      </c>
      <c r="E10" s="10">
        <f>IF(B10&gt;0,ROUND(B10*C10/1200,2),"")</f>
        <v>8312.5</v>
      </c>
      <c r="F10" s="11">
        <f>IF(B10&gt;0,COUNTIFS($B$8:$B$17,"&gt;0",$L$8:$L$17,"&lt;"&amp;L10)+1,"")</f>
        <v>3</v>
      </c>
      <c r="G10" s="11">
        <f>IF(B10&gt;0,COUNTIFS($B$8:$B$17,"&gt;0",$M$8:$M$17,"&gt;"&amp;M10)+1,"")</f>
        <v>1</v>
      </c>
      <c r="H10" s="12">
        <f>IF(B10&gt;0,IF(ISNUMBER(INDEX('Снежный ком'!$R$3:$AA$3,1,F10)),EDATE($D$5,INDEX('Снежный ком'!$R$3:$AA$3,1,F10)-1),"более 30 лет"),"")</f>
        <v>46874</v>
      </c>
      <c r="I10" s="12">
        <f>IF(B10&gt;0,IF(ISNUMBER(INDEX(Лавина!$R$3:$AA$3,1,G10)),EDATE($D$5,INDEX(Лавина!$R$3:$AA$3,1,G10)-1),"более 30 лет"),"")</f>
        <v>46722</v>
      </c>
      <c r="J10" s="13" t="str">
        <f>IF(B10&gt;0,IF(D10&lt;=E10,"платёж не покрывает проценты",""),"")</f>
        <v/>
      </c>
      <c r="L10">
        <f>B10+ROW()/10000</f>
        <v>250000.001</v>
      </c>
      <c r="M10">
        <f>C10-ROW()/100000</f>
        <v>39.899899999999995</v>
      </c>
    </row>
    <row r="11">
      <c r="A11" s="7" t="n"/>
      <c r="B11" s="8" t="n"/>
      <c r="C11" s="9" t="n"/>
      <c r="D11" s="8" t="n"/>
      <c r="E11" s="10" t="str">
        <f>IF(B11&gt;0,ROUND(B11*C11/1200,2),"")</f>
        <v/>
      </c>
      <c r="F11" s="11" t="str">
        <f>IF(B11&gt;0,COUNTIFS($B$8:$B$17,"&gt;0",$L$8:$L$17,"&lt;"&amp;L11)+1,"")</f>
        <v/>
      </c>
      <c r="G11" s="11" t="str">
        <f>IF(B11&gt;0,COUNTIFS($B$8:$B$17,"&gt;0",$M$8:$M$17,"&gt;"&amp;M11)+1,"")</f>
        <v/>
      </c>
      <c r="H11" s="12" t="str">
        <f>IF(B11&gt;0,IF(ISNUMBER(INDEX('Снежный ком'!$R$3:$AA$3,1,F11)),EDATE($D$5,INDEX('Снежный ком'!$R$3:$AA$3,1,F11)-1),"более 30 лет"),"")</f>
        <v/>
      </c>
      <c r="I11" s="12" t="str">
        <f>IF(B11&gt;0,IF(ISNUMBER(INDEX(Лавина!$R$3:$AA$3,1,G11)),EDATE($D$5,INDEX(Лавина!$R$3:$AA$3,1,G11)-1),"более 30 лет"),"")</f>
        <v/>
      </c>
      <c r="J11" s="13" t="str">
        <f>IF(B11&gt;0,IF(D11&lt;=E11,"платёж не покрывает проценты",""),"")</f>
        <v/>
      </c>
      <c r="L11">
        <f>B11+ROW()/10000</f>
        <v>0.0011</v>
      </c>
      <c r="M11">
        <f>C11-ROW()/100000</f>
        <v>-0.00011</v>
      </c>
    </row>
    <row r="12">
      <c r="A12" s="7" t="n"/>
      <c r="B12" s="8" t="n"/>
      <c r="C12" s="9" t="n"/>
      <c r="D12" s="8" t="n"/>
      <c r="E12" s="10" t="str">
        <f>IF(B12&gt;0,ROUND(B12*C12/1200,2),"")</f>
        <v/>
      </c>
      <c r="F12" s="11" t="str">
        <f>IF(B12&gt;0,COUNTIFS($B$8:$B$17,"&gt;0",$L$8:$L$17,"&lt;"&amp;L12)+1,"")</f>
        <v/>
      </c>
      <c r="G12" s="11" t="str">
        <f>IF(B12&gt;0,COUNTIFS($B$8:$B$17,"&gt;0",$M$8:$M$17,"&gt;"&amp;M12)+1,"")</f>
        <v/>
      </c>
      <c r="H12" s="12" t="str">
        <f>IF(B12&gt;0,IF(ISNUMBER(INDEX('Снежный ком'!$R$3:$AA$3,1,F12)),EDATE($D$5,INDEX('Снежный ком'!$R$3:$AA$3,1,F12)-1),"более 30 лет"),"")</f>
        <v/>
      </c>
      <c r="I12" s="12" t="str">
        <f>IF(B12&gt;0,IF(ISNUMBER(INDEX(Лавина!$R$3:$AA$3,1,G12)),EDATE($D$5,INDEX(Лавина!$R$3:$AA$3,1,G12)-1),"более 30 лет"),"")</f>
        <v/>
      </c>
      <c r="J12" s="13" t="str">
        <f>IF(B12&gt;0,IF(D12&lt;=E12,"платёж не покрывает проценты",""),"")</f>
        <v/>
      </c>
      <c r="L12">
        <f>B12+ROW()/10000</f>
        <v>0.0012</v>
      </c>
      <c r="M12">
        <f>C12-ROW()/100000</f>
        <v>-0.00012</v>
      </c>
    </row>
    <row r="13">
      <c r="A13" s="7" t="n"/>
      <c r="B13" s="8" t="n"/>
      <c r="C13" s="9" t="n"/>
      <c r="D13" s="8" t="n"/>
      <c r="E13" s="10" t="str">
        <f>IF(B13&gt;0,ROUND(B13*C13/1200,2),"")</f>
        <v/>
      </c>
      <c r="F13" s="11" t="str">
        <f>IF(B13&gt;0,COUNTIFS($B$8:$B$17,"&gt;0",$L$8:$L$17,"&lt;"&amp;L13)+1,"")</f>
        <v/>
      </c>
      <c r="G13" s="11" t="str">
        <f>IF(B13&gt;0,COUNTIFS($B$8:$B$17,"&gt;0",$M$8:$M$17,"&gt;"&amp;M13)+1,"")</f>
        <v/>
      </c>
      <c r="H13" s="12" t="str">
        <f>IF(B13&gt;0,IF(ISNUMBER(INDEX('Снежный ком'!$R$3:$AA$3,1,F13)),EDATE($D$5,INDEX('Снежный ком'!$R$3:$AA$3,1,F13)-1),"более 30 лет"),"")</f>
        <v/>
      </c>
      <c r="I13" s="12" t="str">
        <f>IF(B13&gt;0,IF(ISNUMBER(INDEX(Лавина!$R$3:$AA$3,1,G13)),EDATE($D$5,INDEX(Лавина!$R$3:$AA$3,1,G13)-1),"более 30 лет"),"")</f>
        <v/>
      </c>
      <c r="J13" s="13" t="str">
        <f>IF(B13&gt;0,IF(D13&lt;=E13,"платёж не покрывает проценты",""),"")</f>
        <v/>
      </c>
      <c r="L13">
        <f>B13+ROW()/10000</f>
        <v>0.0013</v>
      </c>
      <c r="M13">
        <f>C13-ROW()/100000</f>
        <v>-0.00013</v>
      </c>
    </row>
    <row r="14">
      <c r="A14" s="7" t="n"/>
      <c r="B14" s="8" t="n"/>
      <c r="C14" s="9" t="n"/>
      <c r="D14" s="8" t="n"/>
      <c r="E14" s="10" t="str">
        <f>IF(B14&gt;0,ROUND(B14*C14/1200,2),"")</f>
        <v/>
      </c>
      <c r="F14" s="11" t="str">
        <f>IF(B14&gt;0,COUNTIFS($B$8:$B$17,"&gt;0",$L$8:$L$17,"&lt;"&amp;L14)+1,"")</f>
        <v/>
      </c>
      <c r="G14" s="11" t="str">
        <f>IF(B14&gt;0,COUNTIFS($B$8:$B$17,"&gt;0",$M$8:$M$17,"&gt;"&amp;M14)+1,"")</f>
        <v/>
      </c>
      <c r="H14" s="12" t="str">
        <f>IF(B14&gt;0,IF(ISNUMBER(INDEX('Снежный ком'!$R$3:$AA$3,1,F14)),EDATE($D$5,INDEX('Снежный ком'!$R$3:$AA$3,1,F14)-1),"более 30 лет"),"")</f>
        <v/>
      </c>
      <c r="I14" s="12" t="str">
        <f>IF(B14&gt;0,IF(ISNUMBER(INDEX(Лавина!$R$3:$AA$3,1,G14)),EDATE($D$5,INDEX(Лавина!$R$3:$AA$3,1,G14)-1),"более 30 лет"),"")</f>
        <v/>
      </c>
      <c r="J14" s="13" t="str">
        <f>IF(B14&gt;0,IF(D14&lt;=E14,"платёж не покрывает проценты",""),"")</f>
        <v/>
      </c>
      <c r="L14">
        <f>B14+ROW()/10000</f>
        <v>0.0014</v>
      </c>
      <c r="M14">
        <f>C14-ROW()/100000</f>
        <v>-0.00014</v>
      </c>
    </row>
    <row r="15">
      <c r="A15" s="7" t="n"/>
      <c r="B15" s="8" t="n"/>
      <c r="C15" s="9" t="n"/>
      <c r="D15" s="8" t="n"/>
      <c r="E15" s="10" t="str">
        <f>IF(B15&gt;0,ROUND(B15*C15/1200,2),"")</f>
        <v/>
      </c>
      <c r="F15" s="11" t="str">
        <f>IF(B15&gt;0,COUNTIFS($B$8:$B$17,"&gt;0",$L$8:$L$17,"&lt;"&amp;L15)+1,"")</f>
        <v/>
      </c>
      <c r="G15" s="11" t="str">
        <f>IF(B15&gt;0,COUNTIFS($B$8:$B$17,"&gt;0",$M$8:$M$17,"&gt;"&amp;M15)+1,"")</f>
        <v/>
      </c>
      <c r="H15" s="12" t="str">
        <f>IF(B15&gt;0,IF(ISNUMBER(INDEX('Снежный ком'!$R$3:$AA$3,1,F15)),EDATE($D$5,INDEX('Снежный ком'!$R$3:$AA$3,1,F15)-1),"более 30 лет"),"")</f>
        <v/>
      </c>
      <c r="I15" s="12" t="str">
        <f>IF(B15&gt;0,IF(ISNUMBER(INDEX(Лавина!$R$3:$AA$3,1,G15)),EDATE($D$5,INDEX(Лавина!$R$3:$AA$3,1,G15)-1),"более 30 лет"),"")</f>
        <v/>
      </c>
      <c r="J15" s="13" t="str">
        <f>IF(B15&gt;0,IF(D15&lt;=E15,"платёж не покрывает проценты",""),"")</f>
        <v/>
      </c>
      <c r="L15">
        <f>B15+ROW()/10000</f>
        <v>0.0015</v>
      </c>
      <c r="M15">
        <f>C15-ROW()/100000</f>
        <v>-0.00015</v>
      </c>
    </row>
    <row r="16">
      <c r="A16" s="7" t="n"/>
      <c r="B16" s="8" t="n"/>
      <c r="C16" s="9" t="n"/>
      <c r="D16" s="8" t="n"/>
      <c r="E16" s="10" t="str">
        <f>IF(B16&gt;0,ROUND(B16*C16/1200,2),"")</f>
        <v/>
      </c>
      <c r="F16" s="11" t="str">
        <f>IF(B16&gt;0,COUNTIFS($B$8:$B$17,"&gt;0",$L$8:$L$17,"&lt;"&amp;L16)+1,"")</f>
        <v/>
      </c>
      <c r="G16" s="11" t="str">
        <f>IF(B16&gt;0,COUNTIFS($B$8:$B$17,"&gt;0",$M$8:$M$17,"&gt;"&amp;M16)+1,"")</f>
        <v/>
      </c>
      <c r="H16" s="12" t="str">
        <f>IF(B16&gt;0,IF(ISNUMBER(INDEX('Снежный ком'!$R$3:$AA$3,1,F16)),EDATE($D$5,INDEX('Снежный ком'!$R$3:$AA$3,1,F16)-1),"более 30 лет"),"")</f>
        <v/>
      </c>
      <c r="I16" s="12" t="str">
        <f>IF(B16&gt;0,IF(ISNUMBER(INDEX(Лавина!$R$3:$AA$3,1,G16)),EDATE($D$5,INDEX(Лавина!$R$3:$AA$3,1,G16)-1),"более 30 лет"),"")</f>
        <v/>
      </c>
      <c r="J16" s="13" t="str">
        <f>IF(B16&gt;0,IF(D16&lt;=E16,"платёж не покрывает проценты",""),"")</f>
        <v/>
      </c>
      <c r="L16">
        <f>B16+ROW()/10000</f>
        <v>0.0016</v>
      </c>
      <c r="M16">
        <f>C16-ROW()/100000</f>
        <v>-0.00016</v>
      </c>
    </row>
    <row r="17">
      <c r="A17" s="7" t="n"/>
      <c r="B17" s="8" t="n"/>
      <c r="C17" s="9" t="n"/>
      <c r="D17" s="8" t="n"/>
      <c r="E17" s="10" t="str">
        <f>IF(B17&gt;0,ROUND(B17*C17/1200,2),"")</f>
        <v/>
      </c>
      <c r="F17" s="11" t="str">
        <f>IF(B17&gt;0,COUNTIFS($B$8:$B$17,"&gt;0",$L$8:$L$17,"&lt;"&amp;L17)+1,"")</f>
        <v/>
      </c>
      <c r="G17" s="11" t="str">
        <f>IF(B17&gt;0,COUNTIFS($B$8:$B$17,"&gt;0",$M$8:$M$17,"&gt;"&amp;M17)+1,"")</f>
        <v/>
      </c>
      <c r="H17" s="12" t="str">
        <f>IF(B17&gt;0,IF(ISNUMBER(INDEX('Снежный ком'!$R$3:$AA$3,1,F17)),EDATE($D$5,INDEX('Снежный ком'!$R$3:$AA$3,1,F17)-1),"более 30 лет"),"")</f>
        <v/>
      </c>
      <c r="I17" s="12" t="str">
        <f>IF(B17&gt;0,IF(ISNUMBER(INDEX(Лавина!$R$3:$AA$3,1,G17)),EDATE($D$5,INDEX(Лавина!$R$3:$AA$3,1,G17)-1),"более 30 лет"),"")</f>
        <v/>
      </c>
      <c r="J17" s="13" t="str">
        <f>IF(B17&gt;0,IF(D17&lt;=E17,"платёж не покрывает проценты",""),"")</f>
        <v/>
      </c>
      <c r="L17">
        <f>B17+ROW()/10000</f>
        <v>0.0017</v>
      </c>
      <c r="M17">
        <f>C17-ROW()/100000</f>
        <v>-0.00017</v>
      </c>
    </row>
    <row r="19">
      <c r="A19" t="inlineStr">
        <is>
          <t>Бюджет на долги в месяц (минимальные платежи + доплата)</t>
        </is>
      </c>
      <c r="D19" s="14">
        <f>SUMIF($B$8:$B$17,"&gt;0",$D$8:$D$17)+$D$4</f>
        <v>31000.0</v>
      </c>
    </row>
    <row r="21">
      <c r="A21" s="15" t="inlineStr">
        <is>
          <t>Итог</t>
        </is>
      </c>
      <c r="B21" s="16" t="n"/>
      <c r="C21" s="16" t="n"/>
      <c r="D21" s="17" t="inlineStr">
        <is>
          <t>Снежный ком</t>
        </is>
      </c>
      <c r="E21" s="17" t="inlineStr">
        <is>
          <t>Лавина</t>
        </is>
      </c>
    </row>
    <row r="22">
      <c r="A22" s="18" t="inlineStr">
        <is>
          <t>Месяцев до закрытия всех долгов</t>
        </is>
      </c>
      <c r="B22" s="18" t="n"/>
      <c r="C22" s="18" t="n"/>
      <c r="D22" s="19">
        <f>IF('Снежный ком'!$F$365&gt;0.005,"более 360",COUNT('Снежный ком'!$A$6:$A$365))</f>
        <v>20</v>
      </c>
      <c r="E22" s="19">
        <f>IF(Лавина!$F$365&gt;0.005,"более 360",COUNT(Лавина!$A$6:$A$365))</f>
        <v>19</v>
      </c>
    </row>
    <row r="23">
      <c r="A23" s="18" t="inlineStr">
        <is>
          <t>Месяц последнего платежа</t>
        </is>
      </c>
      <c r="B23" s="18" t="n"/>
      <c r="C23" s="18" t="n"/>
      <c r="D23" s="20">
        <f>IF(ISNUMBER(D22),EDATE($D$5,D22-1),"—")</f>
        <v>46874</v>
      </c>
      <c r="E23" s="20">
        <f>IF(ISNUMBER(E22),EDATE($D$5,E22-1),"—")</f>
        <v>46844</v>
      </c>
    </row>
    <row r="24">
      <c r="A24" s="18" t="inlineStr">
        <is>
          <t>Переплата (проценты)</t>
        </is>
      </c>
      <c r="B24" s="18" t="n"/>
      <c r="C24" s="18" t="n"/>
      <c r="D24" s="21">
        <f>SUM('Снежный ком'!$D$6:$D$365)</f>
        <v>144800.0</v>
      </c>
      <c r="E24" s="21">
        <f>SUM(Лавина!$D$6:$D$365)</f>
        <v>114714.56</v>
      </c>
    </row>
    <row r="25">
      <c r="A25" s="18" t="inlineStr">
        <is>
          <t>Всего выплатите</t>
        </is>
      </c>
      <c r="B25" s="18" t="n"/>
      <c r="C25" s="18" t="n"/>
      <c r="D25" s="22">
        <f>SUM('Снежный ком'!$C$6:$C$365)</f>
        <v>614800.0</v>
      </c>
      <c r="E25" s="22">
        <f>SUM(Лавина!$C$6:$C$365)</f>
        <v>584714.56</v>
      </c>
    </row>
    <row r="26">
      <c r="A26" s="18" t="inlineStr">
        <is>
          <t>Первый долг закрыт через (мес.)</t>
        </is>
      </c>
      <c r="B26" s="18" t="n"/>
      <c r="C26" s="18" t="n"/>
      <c r="D26" s="23">
        <f>MIN('Снежный ком'!$R$3:$AA$3)</f>
        <v>4</v>
      </c>
      <c r="E26" s="23">
        <f>MIN(Лавина!$R$3:$AA$3)</f>
        <v>10</v>
      </c>
    </row>
    <row r="28">
      <c r="A28" t="inlineStr">
        <is>
          <t>Лавина экономит на процентах</t>
        </is>
      </c>
      <c r="D28" s="24">
        <f>D24-E24</f>
        <v>30085.44</v>
      </c>
    </row>
    <row r="29">
      <c r="A29" t="inlineStr">
        <is>
          <t>Лавина быстрее на (мес.)</t>
        </is>
      </c>
      <c r="D29" s="25">
        <f>IF(AND(ISNUMBER(D22),ISNUMBER(E22)),D22-E22,"—")</f>
        <v>1</v>
      </c>
    </row>
    <row r="31">
      <c r="A31" s="26" t="str">
        <f>IF(D28&lt;1,"Методы дают одинаковый результат — берите снежный ком: быстрые победы бесплатно.","Лавина дешевле. Если разница для вас заметна — гасите по лавине.")</f>
        <v>Лавина дешевле. Если разница для вас заметна — гасите по лавине.</v>
      </c>
    </row>
  </sheetData>
  <dataValidations count="2">
    <dataValidation sqref="B8:B17 D4 D8:D17" showDropDown="0" showInputMessage="0" showErrorMessage="1" allowBlank="1" error="0 … 10 000 000 000" type="decimal" operator="between">
      <formula1>0</formula1>
      <formula2>10000000000</formula2>
    </dataValidation>
    <dataValidation sqref="C8:C17" showDropDown="0" showInputMessage="0" showErrorMessage="1" allowBlank="1" error="0 … 1000 %" type="decimal" operator="between">
      <formula1>0</formula1>
      <formula2>1000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365"/>
  <sheetViews>
    <sheetView workbookViewId="0">
      <pane xSplit="7" ySplit="5" topLeftCell="H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3" customWidth="1" min="3" max="3"/>
    <col width="12" customWidth="1" min="4" max="4"/>
    <col width="13" customWidth="1" min="5" max="5"/>
    <col width="14" customWidth="1" min="6" max="6"/>
    <col width="17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  <col width="15" customWidth="1" min="31" max="31"/>
    <col width="15" customWidth="1" min="32" max="32"/>
    <col width="15" customWidth="1" min="33" max="33"/>
    <col width="15" customWidth="1" min="34" max="34"/>
    <col width="15" customWidth="1" min="35" max="35"/>
    <col width="15" customWidth="1" min="36" max="36"/>
    <col width="15" customWidth="1" min="37" max="37"/>
    <col hidden="1" width="15" customWidth="1" min="38" max="38"/>
    <col hidden="1" width="15" customWidth="1" min="39" max="39"/>
    <col hidden="1" width="15" customWidth="1" min="40" max="40"/>
    <col hidden="1" width="15" customWidth="1" min="41" max="41"/>
    <col hidden="1" width="15" customWidth="1" min="42" max="42"/>
    <col hidden="1" width="15" customWidth="1" min="43" max="43"/>
    <col hidden="1" width="15" customWidth="1" min="44" max="44"/>
    <col hidden="1" width="15" customWidth="1" min="45" max="45"/>
    <col hidden="1" width="15" customWidth="1" min="46" max="46"/>
    <col hidden="1" width="15" customWidth="1" min="47" max="47"/>
  </cols>
  <sheetData>
    <row r="1">
      <c r="A1" s="27" t="inlineStr">
        <is>
          <t>График по методу «снежный ком»: доплата идёт в самый маленький долг</t>
        </is>
      </c>
    </row>
    <row r="2">
      <c r="H2" s="28" t="inlineStr">
        <is>
          <t>Платежи по долгам</t>
        </is>
      </c>
      <c r="R2" s="28" t="inlineStr">
        <is>
          <t>Остатки по долгам</t>
        </is>
      </c>
      <c r="AB2" s="28" t="inlineStr">
        <is>
          <t>Проценты по долгам</t>
        </is>
      </c>
      <c r="AL2" s="28" t="inlineStr">
        <is>
          <t>Служебное: обязательный платёж</t>
        </is>
      </c>
    </row>
    <row r="3">
      <c r="A3" s="2" t="inlineStr">
        <is>
          <t>Закроется через (мес.)</t>
        </is>
      </c>
      <c r="R3" s="29">
        <f>IF(R$5&gt;0,IF(R$365&gt;0,"более 30 лет",COUNTIF(R$6:R$365,"&gt;0")+1),"")</f>
        <v>4</v>
      </c>
      <c r="S3" s="29">
        <f>IF(S$5&gt;0,IF(S$365&gt;0,"более 30 лет",COUNTIF(S$6:S$365,"&gt;0")+1),"")</f>
        <v>14</v>
      </c>
      <c r="T3" s="29">
        <f>IF(T$5&gt;0,IF(T$365&gt;0,"более 30 лет",COUNTIF(T$6:T$365,"&gt;0")+1),"")</f>
        <v>20</v>
      </c>
      <c r="U3" s="29" t="str">
        <f>IF(U$5&gt;0,IF(U$365&gt;0,"более 30 лет",COUNTIF(U$6:U$365,"&gt;0")+1),"")</f>
        <v/>
      </c>
      <c r="V3" s="29" t="str">
        <f>IF(V$5&gt;0,IF(V$365&gt;0,"более 30 лет",COUNTIF(V$6:V$365,"&gt;0")+1),"")</f>
        <v/>
      </c>
      <c r="W3" s="29" t="str">
        <f>IF(W$5&gt;0,IF(W$365&gt;0,"более 30 лет",COUNTIF(W$6:W$365,"&gt;0")+1),"")</f>
        <v/>
      </c>
      <c r="X3" s="29" t="str">
        <f>IF(X$5&gt;0,IF(X$365&gt;0,"более 30 лет",COUNTIF(X$6:X$365,"&gt;0")+1),"")</f>
        <v/>
      </c>
      <c r="Y3" s="29" t="str">
        <f>IF(Y$5&gt;0,IF(Y$365&gt;0,"более 30 лет",COUNTIF(Y$6:Y$365,"&gt;0")+1),"")</f>
        <v/>
      </c>
      <c r="Z3" s="29" t="str">
        <f>IF(Z$5&gt;0,IF(Z$365&gt;0,"более 30 лет",COUNTIF(Z$6:Z$365,"&gt;0")+1),"")</f>
        <v/>
      </c>
      <c r="AA3" s="29" t="str">
        <f>IF(AA$5&gt;0,IF(AA$365&gt;0,"более 30 лет",COUNTIF(AA$6:AA$365,"&gt;0")+1),"")</f>
        <v/>
      </c>
    </row>
    <row r="4" ht="32" customHeight="1">
      <c r="A4" s="30" t="inlineStr">
        <is>
          <t>№</t>
        </is>
      </c>
      <c r="B4" s="30" t="inlineStr">
        <is>
          <t>Месяц</t>
        </is>
      </c>
      <c r="C4" s="30" t="inlineStr">
        <is>
          <t>Платёж</t>
        </is>
      </c>
      <c r="D4" s="30" t="inlineStr">
        <is>
          <t>Проценты</t>
        </is>
      </c>
      <c r="E4" s="30" t="inlineStr">
        <is>
          <t>В тело долга</t>
        </is>
      </c>
      <c r="F4" s="30" t="inlineStr">
        <is>
          <t>Остаток</t>
        </is>
      </c>
      <c r="G4" s="30" t="inlineStr">
        <is>
          <t>Осталось</t>
        </is>
      </c>
      <c r="H4" s="17" t="str">
        <f>IFERROR(INDEX(Долги!$A$8:$A$17,MATCH(1,Долги!$F$8:$F$17,0)),"—")</f>
        <v>Рассрочка на технику</v>
      </c>
      <c r="I4" s="17" t="str">
        <f>IFERROR(INDEX(Долги!$A$8:$A$17,MATCH(2,Долги!$F$8:$F$17,0)),"—")</f>
        <v>Потребкредит</v>
      </c>
      <c r="J4" s="17" t="str">
        <f>IFERROR(INDEX(Долги!$A$8:$A$17,MATCH(3,Долги!$F$8:$F$17,0)),"—")</f>
        <v>Кредитная карта</v>
      </c>
      <c r="K4" s="17" t="str">
        <f>IFERROR(INDEX(Долги!$A$8:$A$17,MATCH(4,Долги!$F$8:$F$17,0)),"—")</f>
        <v>—</v>
      </c>
      <c r="L4" s="17" t="str">
        <f>IFERROR(INDEX(Долги!$A$8:$A$17,MATCH(5,Долги!$F$8:$F$17,0)),"—")</f>
        <v>—</v>
      </c>
      <c r="M4" s="17" t="str">
        <f>IFERROR(INDEX(Долги!$A$8:$A$17,MATCH(6,Долги!$F$8:$F$17,0)),"—")</f>
        <v>—</v>
      </c>
      <c r="N4" s="17" t="str">
        <f>IFERROR(INDEX(Долги!$A$8:$A$17,MATCH(7,Долги!$F$8:$F$17,0)),"—")</f>
        <v>—</v>
      </c>
      <c r="O4" s="17" t="str">
        <f>IFERROR(INDEX(Долги!$A$8:$A$17,MATCH(8,Долги!$F$8:$F$17,0)),"—")</f>
        <v>—</v>
      </c>
      <c r="P4" s="17" t="str">
        <f>IFERROR(INDEX(Долги!$A$8:$A$17,MATCH(9,Долги!$F$8:$F$17,0)),"—")</f>
        <v>—</v>
      </c>
      <c r="Q4" s="17" t="str">
        <f>IFERROR(INDEX(Долги!$A$8:$A$17,MATCH(10,Долги!$F$8:$F$17,0)),"—")</f>
        <v>—</v>
      </c>
      <c r="R4" s="17" t="str">
        <f>IFERROR(INDEX(Долги!$A$8:$A$17,MATCH(1,Долги!$F$8:$F$17,0)),"—")</f>
        <v>Рассрочка на технику</v>
      </c>
      <c r="S4" s="17" t="str">
        <f>IFERROR(INDEX(Долги!$A$8:$A$17,MATCH(2,Долги!$F$8:$F$17,0)),"—")</f>
        <v>Потребкредит</v>
      </c>
      <c r="T4" s="17" t="str">
        <f>IFERROR(INDEX(Долги!$A$8:$A$17,MATCH(3,Долги!$F$8:$F$17,0)),"—")</f>
        <v>Кредитная карта</v>
      </c>
      <c r="U4" s="17" t="str">
        <f>IFERROR(INDEX(Долги!$A$8:$A$17,MATCH(4,Долги!$F$8:$F$17,0)),"—")</f>
        <v>—</v>
      </c>
      <c r="V4" s="17" t="str">
        <f>IFERROR(INDEX(Долги!$A$8:$A$17,MATCH(5,Долги!$F$8:$F$17,0)),"—")</f>
        <v>—</v>
      </c>
      <c r="W4" s="17" t="str">
        <f>IFERROR(INDEX(Долги!$A$8:$A$17,MATCH(6,Долги!$F$8:$F$17,0)),"—")</f>
        <v>—</v>
      </c>
      <c r="X4" s="17" t="str">
        <f>IFERROR(INDEX(Долги!$A$8:$A$17,MATCH(7,Долги!$F$8:$F$17,0)),"—")</f>
        <v>—</v>
      </c>
      <c r="Y4" s="17" t="str">
        <f>IFERROR(INDEX(Долги!$A$8:$A$17,MATCH(8,Долги!$F$8:$F$17,0)),"—")</f>
        <v>—</v>
      </c>
      <c r="Z4" s="17" t="str">
        <f>IFERROR(INDEX(Долги!$A$8:$A$17,MATCH(9,Долги!$F$8:$F$17,0)),"—")</f>
        <v>—</v>
      </c>
      <c r="AA4" s="17" t="str">
        <f>IFERROR(INDEX(Долги!$A$8:$A$17,MATCH(10,Долги!$F$8:$F$17,0)),"—")</f>
        <v>—</v>
      </c>
      <c r="AB4" s="17" t="str">
        <f>IFERROR(INDEX(Долги!$A$8:$A$17,MATCH(1,Долги!$F$8:$F$17,0)),"—")</f>
        <v>Рассрочка на технику</v>
      </c>
      <c r="AC4" s="17" t="str">
        <f>IFERROR(INDEX(Долги!$A$8:$A$17,MATCH(2,Долги!$F$8:$F$17,0)),"—")</f>
        <v>Потребкредит</v>
      </c>
      <c r="AD4" s="17" t="str">
        <f>IFERROR(INDEX(Долги!$A$8:$A$17,MATCH(3,Долги!$F$8:$F$17,0)),"—")</f>
        <v>Кредитная карта</v>
      </c>
      <c r="AE4" s="17" t="str">
        <f>IFERROR(INDEX(Долги!$A$8:$A$17,MATCH(4,Долги!$F$8:$F$17,0)),"—")</f>
        <v>—</v>
      </c>
      <c r="AF4" s="17" t="str">
        <f>IFERROR(INDEX(Долги!$A$8:$A$17,MATCH(5,Долги!$F$8:$F$17,0)),"—")</f>
        <v>—</v>
      </c>
      <c r="AG4" s="17" t="str">
        <f>IFERROR(INDEX(Долги!$A$8:$A$17,MATCH(6,Долги!$F$8:$F$17,0)),"—")</f>
        <v>—</v>
      </c>
      <c r="AH4" s="17" t="str">
        <f>IFERROR(INDEX(Долги!$A$8:$A$17,MATCH(7,Долги!$F$8:$F$17,0)),"—")</f>
        <v>—</v>
      </c>
      <c r="AI4" s="17" t="str">
        <f>IFERROR(INDEX(Долги!$A$8:$A$17,MATCH(8,Долги!$F$8:$F$17,0)),"—")</f>
        <v>—</v>
      </c>
      <c r="AJ4" s="17" t="str">
        <f>IFERROR(INDEX(Долги!$A$8:$A$17,MATCH(9,Долги!$F$8:$F$17,0)),"—")</f>
        <v>—</v>
      </c>
      <c r="AK4" s="17" t="str">
        <f>IFERROR(INDEX(Долги!$A$8:$A$17,MATCH(10,Долги!$F$8:$F$17,0)),"—")</f>
        <v>—</v>
      </c>
      <c r="AL4" s="17" t="str">
        <f>IFERROR(INDEX(Долги!$A$8:$A$17,MATCH(1,Долги!$F$8:$F$17,0)),"—")</f>
        <v>Рассрочка на технику</v>
      </c>
      <c r="AM4" s="17" t="str">
        <f>IFERROR(INDEX(Долги!$A$8:$A$17,MATCH(2,Долги!$F$8:$F$17,0)),"—")</f>
        <v>Потребкредит</v>
      </c>
      <c r="AN4" s="17" t="str">
        <f>IFERROR(INDEX(Долги!$A$8:$A$17,MATCH(3,Долги!$F$8:$F$17,0)),"—")</f>
        <v>Кредитная карта</v>
      </c>
      <c r="AO4" s="17" t="str">
        <f>IFERROR(INDEX(Долги!$A$8:$A$17,MATCH(4,Долги!$F$8:$F$17,0)),"—")</f>
        <v>—</v>
      </c>
      <c r="AP4" s="17" t="str">
        <f>IFERROR(INDEX(Долги!$A$8:$A$17,MATCH(5,Долги!$F$8:$F$17,0)),"—")</f>
        <v>—</v>
      </c>
      <c r="AQ4" s="17" t="str">
        <f>IFERROR(INDEX(Долги!$A$8:$A$17,MATCH(6,Долги!$F$8:$F$17,0)),"—")</f>
        <v>—</v>
      </c>
      <c r="AR4" s="17" t="str">
        <f>IFERROR(INDEX(Долги!$A$8:$A$17,MATCH(7,Долги!$F$8:$F$17,0)),"—")</f>
        <v>—</v>
      </c>
      <c r="AS4" s="17" t="str">
        <f>IFERROR(INDEX(Долги!$A$8:$A$17,MATCH(8,Долги!$F$8:$F$17,0)),"—")</f>
        <v>—</v>
      </c>
      <c r="AT4" s="17" t="str">
        <f>IFERROR(INDEX(Долги!$A$8:$A$17,MATCH(9,Долги!$F$8:$F$17,0)),"—")</f>
        <v>—</v>
      </c>
      <c r="AU4" s="17" t="str">
        <f>IFERROR(INDEX(Долги!$A$8:$A$17,MATCH(10,Долги!$F$8:$F$17,0)),"—")</f>
        <v>—</v>
      </c>
    </row>
    <row r="5">
      <c r="B5" s="2" t="inlineStr">
        <is>
          <t>старт</t>
        </is>
      </c>
      <c r="F5" s="31">
        <f>SUM(R5:AA5)</f>
        <v>470000.0</v>
      </c>
      <c r="R5" s="31">
        <f>IFERROR(INDEX(Долги!$B$8:$B$17,MATCH(1,Долги!$F$8:$F$17,0)),0)</f>
        <v>40000</v>
      </c>
      <c r="S5" s="31">
        <f>IFERROR(INDEX(Долги!$B$8:$B$17,MATCH(2,Долги!$F$8:$F$17,0)),0)</f>
        <v>180000</v>
      </c>
      <c r="T5" s="31">
        <f>IFERROR(INDEX(Долги!$B$8:$B$17,MATCH(3,Долги!$F$8:$F$17,0)),0)</f>
        <v>250000</v>
      </c>
      <c r="U5" s="31">
        <f>IFERROR(INDEX(Долги!$B$8:$B$17,MATCH(4,Долги!$F$8:$F$17,0)),0)</f>
        <v>0</v>
      </c>
      <c r="V5" s="31">
        <f>IFERROR(INDEX(Долги!$B$8:$B$17,MATCH(5,Долги!$F$8:$F$17,0)),0)</f>
        <v>0</v>
      </c>
      <c r="W5" s="31">
        <f>IFERROR(INDEX(Долги!$B$8:$B$17,MATCH(6,Долги!$F$8:$F$17,0)),0)</f>
        <v>0</v>
      </c>
      <c r="X5" s="31">
        <f>IFERROR(INDEX(Долги!$B$8:$B$17,MATCH(7,Долги!$F$8:$F$17,0)),0)</f>
        <v>0</v>
      </c>
      <c r="Y5" s="31">
        <f>IFERROR(INDEX(Долги!$B$8:$B$17,MATCH(8,Долги!$F$8:$F$17,0)),0)</f>
        <v>0</v>
      </c>
      <c r="Z5" s="31">
        <f>IFERROR(INDEX(Долги!$B$8:$B$17,MATCH(9,Долги!$F$8:$F$17,0)),0)</f>
        <v>0</v>
      </c>
      <c r="AA5" s="31">
        <f>IFERROR(INDEX(Долги!$B$8:$B$17,MATCH(10,Долги!$F$8:$F$17,0)),0)</f>
        <v>0</v>
      </c>
      <c r="AB5" s="32">
        <f>IFERROR(INDEX(Долги!$C$8:$C$17,MATCH(1,Долги!$F$8:$F$17,0)),0)</f>
        <v>0</v>
      </c>
      <c r="AC5" s="32">
        <f>IFERROR(INDEX(Долги!$C$8:$C$17,MATCH(2,Долги!$F$8:$F$17,0)),0)</f>
        <v>19</v>
      </c>
      <c r="AD5" s="32">
        <f>IFERROR(INDEX(Долги!$C$8:$C$17,MATCH(3,Долги!$F$8:$F$17,0)),0)</f>
        <v>39.9</v>
      </c>
      <c r="AE5" s="32">
        <f>IFERROR(INDEX(Долги!$C$8:$C$17,MATCH(4,Долги!$F$8:$F$17,0)),0)</f>
        <v>0</v>
      </c>
      <c r="AF5" s="32">
        <f>IFERROR(INDEX(Долги!$C$8:$C$17,MATCH(5,Долги!$F$8:$F$17,0)),0)</f>
        <v>0</v>
      </c>
      <c r="AG5" s="32">
        <f>IFERROR(INDEX(Долги!$C$8:$C$17,MATCH(6,Долги!$F$8:$F$17,0)),0)</f>
        <v>0</v>
      </c>
      <c r="AH5" s="32">
        <f>IFERROR(INDEX(Долги!$C$8:$C$17,MATCH(7,Долги!$F$8:$F$17,0)),0)</f>
        <v>0</v>
      </c>
      <c r="AI5" s="32">
        <f>IFERROR(INDEX(Долги!$C$8:$C$17,MATCH(8,Долги!$F$8:$F$17,0)),0)</f>
        <v>0</v>
      </c>
      <c r="AJ5" s="32">
        <f>IFERROR(INDEX(Долги!$C$8:$C$17,MATCH(9,Долги!$F$8:$F$17,0)),0)</f>
        <v>0</v>
      </c>
      <c r="AK5" s="32">
        <f>IFERROR(INDEX(Долги!$C$8:$C$17,MATCH(10,Долги!$F$8:$F$17,0)),0)</f>
        <v>0</v>
      </c>
      <c r="AL5" s="31">
        <f>IFERROR(INDEX(Долги!$D$8:$D$17,MATCH(1,Долги!$F$8:$F$17,0)),0)</f>
        <v>4000</v>
      </c>
      <c r="AM5" s="31">
        <f>IFERROR(INDEX(Долги!$D$8:$D$17,MATCH(2,Долги!$F$8:$F$17,0)),0)</f>
        <v>6500</v>
      </c>
      <c r="AN5" s="31">
        <f>IFERROR(INDEX(Долги!$D$8:$D$17,MATCH(3,Долги!$F$8:$F$17,0)),0)</f>
        <v>12500</v>
      </c>
      <c r="AO5" s="31">
        <f>IFERROR(INDEX(Долги!$D$8:$D$17,MATCH(4,Долги!$F$8:$F$17,0)),0)</f>
        <v>0</v>
      </c>
      <c r="AP5" s="31">
        <f>IFERROR(INDEX(Долги!$D$8:$D$17,MATCH(5,Долги!$F$8:$F$17,0)),0)</f>
        <v>0</v>
      </c>
      <c r="AQ5" s="31">
        <f>IFERROR(INDEX(Долги!$D$8:$D$17,MATCH(6,Долги!$F$8:$F$17,0)),0)</f>
        <v>0</v>
      </c>
      <c r="AR5" s="31">
        <f>IFERROR(INDEX(Долги!$D$8:$D$17,MATCH(7,Долги!$F$8:$F$17,0)),0)</f>
        <v>0</v>
      </c>
      <c r="AS5" s="31">
        <f>IFERROR(INDEX(Долги!$D$8:$D$17,MATCH(8,Долги!$F$8:$F$17,0)),0)</f>
        <v>0</v>
      </c>
      <c r="AT5" s="31">
        <f>IFERROR(INDEX(Долги!$D$8:$D$17,MATCH(9,Долги!$F$8:$F$17,0)),0)</f>
        <v>0</v>
      </c>
      <c r="AU5" s="31">
        <f>IFERROR(INDEX(Долги!$D$8:$D$17,MATCH(10,Долги!$F$8:$F$17,0)),0)</f>
        <v>0</v>
      </c>
    </row>
    <row r="6">
      <c r="A6" s="25">
        <f>IF(F5&gt;0.005,1,"")</f>
        <v>1</v>
      </c>
      <c r="B6" s="33">
        <f>IF(A6="","",EDATE(Долги!$D$5,0))</f>
        <v>46296</v>
      </c>
      <c r="C6" s="31">
        <f>SUM(H6:Q6)</f>
        <v>31000.0</v>
      </c>
      <c r="D6" s="31">
        <f>SUM(AB6:AK6)</f>
        <v>11162.5</v>
      </c>
      <c r="E6" s="31">
        <f>C6-D6</f>
        <v>19837.5</v>
      </c>
      <c r="F6" s="31">
        <f>SUM(R6:AA6)</f>
        <v>450162.5</v>
      </c>
      <c r="G6" s="34" t="str">
        <f>IF(OR(A6="",$F$5&lt;=0),"",REPT("█",ROUND(20*F6/$F$5,0)))</f>
        <v>███████████████████</v>
      </c>
      <c r="H6" s="31">
        <f>AL6+MIN(R5+AB6-AL6,MAX(0,ROUND(Долги!$D$19-SUM($AL6:$AU6),2)))</f>
        <v>12000.0</v>
      </c>
      <c r="I6" s="31">
        <f>AM6+MIN(S5+AC6-AM6,MAX(0,ROUND(ROUND(Долги!$D$19-SUM($AL6:$AU6),2)-(SUM($H6:H6)-SUM($AL6:AL6)),2)))</f>
        <v>6500.0</v>
      </c>
      <c r="J6" s="31">
        <f>AN6+MIN(T5+AD6-AN6,MAX(0,ROUND(ROUND(Долги!$D$19-SUM($AL6:$AU6),2)-(SUM($H6:I6)-SUM($AL6:AM6)),2)))</f>
        <v>12500.0</v>
      </c>
      <c r="K6" s="31">
        <f>AO6+MIN(U5+AE6-AO6,MAX(0,ROUND(ROUND(Долги!$D$19-SUM($AL6:$AU6),2)-(SUM($H6:J6)-SUM($AL6:AN6)),2)))</f>
        <v>0.0</v>
      </c>
      <c r="L6" s="31">
        <f>AP6+MIN(V5+AF6-AP6,MAX(0,ROUND(ROUND(Долги!$D$19-SUM($AL6:$AU6),2)-(SUM($H6:K6)-SUM($AL6:AO6)),2)))</f>
        <v>0.0</v>
      </c>
      <c r="M6" s="31">
        <f>AQ6+MIN(W5+AG6-AQ6,MAX(0,ROUND(ROUND(Долги!$D$19-SUM($AL6:$AU6),2)-(SUM($H6:L6)-SUM($AL6:AP6)),2)))</f>
        <v>0.0</v>
      </c>
      <c r="N6" s="31">
        <f>AR6+MIN(X5+AH6-AR6,MAX(0,ROUND(ROUND(Долги!$D$19-SUM($AL6:$AU6),2)-(SUM($H6:M6)-SUM($AL6:AQ6)),2)))</f>
        <v>0.0</v>
      </c>
      <c r="O6" s="31">
        <f>AS6+MIN(Y5+AI6-AS6,MAX(0,ROUND(ROUND(Долги!$D$19-SUM($AL6:$AU6),2)-(SUM($H6:N6)-SUM($AL6:AR6)),2)))</f>
        <v>0.0</v>
      </c>
      <c r="P6" s="31">
        <f>AT6+MIN(Z5+AJ6-AT6,MAX(0,ROUND(ROUND(Долги!$D$19-SUM($AL6:$AU6),2)-(SUM($H6:O6)-SUM($AL6:AS6)),2)))</f>
        <v>0.0</v>
      </c>
      <c r="Q6" s="31">
        <f>AU6+MIN(AA5+AK6-AU6,MAX(0,ROUND(ROUND(Долги!$D$19-SUM($AL6:$AU6),2)-(SUM($H6:P6)-SUM($AL6:AT6)),2)))</f>
        <v>0.0</v>
      </c>
      <c r="R6" s="31">
        <f>IF(R5+AB6-H6&lt;=0.01,0,ROUND(R5+AB6-H6,2))</f>
        <v>28000.0</v>
      </c>
      <c r="S6" s="31">
        <f>IF(S5+AC6-I6&lt;=0.01,0,ROUND(S5+AC6-I6,2))</f>
        <v>176350.0</v>
      </c>
      <c r="T6" s="31">
        <f>IF(T5+AD6-J6&lt;=0.01,0,ROUND(T5+AD6-J6,2))</f>
        <v>245812.5</v>
      </c>
      <c r="U6" s="31">
        <f>IF(U5+AE6-K6&lt;=0.01,0,ROUND(U5+AE6-K6,2))</f>
        <v>0.0</v>
      </c>
      <c r="V6" s="31">
        <f>IF(V5+AF6-L6&lt;=0.01,0,ROUND(V5+AF6-L6,2))</f>
        <v>0.0</v>
      </c>
      <c r="W6" s="31">
        <f>IF(W5+AG6-M6&lt;=0.01,0,ROUND(W5+AG6-M6,2))</f>
        <v>0.0</v>
      </c>
      <c r="X6" s="31">
        <f>IF(X5+AH6-N6&lt;=0.01,0,ROUND(X5+AH6-N6,2))</f>
        <v>0.0</v>
      </c>
      <c r="Y6" s="31">
        <f>IF(Y5+AI6-O6&lt;=0.01,0,ROUND(Y5+AI6-O6,2))</f>
        <v>0.0</v>
      </c>
      <c r="Z6" s="31">
        <f>IF(Z5+AJ6-P6&lt;=0.01,0,ROUND(Z5+AJ6-P6,2))</f>
        <v>0.0</v>
      </c>
      <c r="AA6" s="31">
        <f>IF(AA5+AK6-Q6&lt;=0.01,0,ROUND(AA5+AK6-Q6,2))</f>
        <v>0.0</v>
      </c>
      <c r="AB6" s="31">
        <f>ROUND(R5*AB$5/1200,2)</f>
        <v>0.0</v>
      </c>
      <c r="AC6" s="31">
        <f>ROUND(S5*AC$5/1200,2)</f>
        <v>2850.0</v>
      </c>
      <c r="AD6" s="31">
        <f>ROUND(T5*AD$5/1200,2)</f>
        <v>8312.5</v>
      </c>
      <c r="AE6" s="31">
        <f>ROUND(U5*AE$5/1200,2)</f>
        <v>0.0</v>
      </c>
      <c r="AF6" s="31">
        <f>ROUND(V5*AF$5/1200,2)</f>
        <v>0.0</v>
      </c>
      <c r="AG6" s="31">
        <f>ROUND(W5*AG$5/1200,2)</f>
        <v>0.0</v>
      </c>
      <c r="AH6" s="31">
        <f>ROUND(X5*AH$5/1200,2)</f>
        <v>0.0</v>
      </c>
      <c r="AI6" s="31">
        <f>ROUND(Y5*AI$5/1200,2)</f>
        <v>0.0</v>
      </c>
      <c r="AJ6" s="31">
        <f>ROUND(Z5*AJ$5/1200,2)</f>
        <v>0.0</v>
      </c>
      <c r="AK6" s="31">
        <f>ROUND(AA5*AK$5/1200,2)</f>
        <v>0.0</v>
      </c>
      <c r="AL6" s="31">
        <f>MIN(AL$5,R5+AB6)</f>
        <v>4000.0</v>
      </c>
      <c r="AM6" s="31">
        <f>MIN(AM$5,S5+AC6)</f>
        <v>6500.0</v>
      </c>
      <c r="AN6" s="31">
        <f>MIN(AN$5,T5+AD6)</f>
        <v>12500.0</v>
      </c>
      <c r="AO6" s="31">
        <f>MIN(AO$5,U5+AE6)</f>
        <v>0.0</v>
      </c>
      <c r="AP6" s="31">
        <f>MIN(AP$5,V5+AF6)</f>
        <v>0.0</v>
      </c>
      <c r="AQ6" s="31">
        <f>MIN(AQ$5,W5+AG6)</f>
        <v>0.0</v>
      </c>
      <c r="AR6" s="31">
        <f>MIN(AR$5,X5+AH6)</f>
        <v>0.0</v>
      </c>
      <c r="AS6" s="31">
        <f>MIN(AS$5,Y5+AI6)</f>
        <v>0.0</v>
      </c>
      <c r="AT6" s="31">
        <f>MIN(AT$5,Z5+AJ6)</f>
        <v>0.0</v>
      </c>
      <c r="AU6" s="31">
        <f>MIN(AU$5,AA5+AK6)</f>
        <v>0.0</v>
      </c>
    </row>
    <row r="7">
      <c r="A7" s="25">
        <f>IF(F6&gt;0.005,2,"")</f>
        <v>2</v>
      </c>
      <c r="B7" s="33">
        <f>IF(A7="","",EDATE(Долги!$D$5,1))</f>
        <v>46327</v>
      </c>
      <c r="C7" s="31">
        <f>SUM(H7:Q7)</f>
        <v>31000.0</v>
      </c>
      <c r="D7" s="31">
        <f>SUM(AB7:AK7)</f>
        <v>10965.48</v>
      </c>
      <c r="E7" s="31">
        <f>C7-D7</f>
        <v>20034.52</v>
      </c>
      <c r="F7" s="31">
        <f>SUM(R7:AA7)</f>
        <v>430127.98</v>
      </c>
      <c r="G7" s="34" t="str">
        <f>IF(OR(A7="",$F$5&lt;=0),"",REPT("█",ROUND(20*F7/$F$5,0)))</f>
        <v>██████████████████</v>
      </c>
      <c r="H7" s="31">
        <f>AL7+MIN(R6+AB7-AL7,MAX(0,ROUND(Долги!$D$19-SUM($AL7:$AU7),2)))</f>
        <v>12000.0</v>
      </c>
      <c r="I7" s="31">
        <f>AM7+MIN(S6+AC7-AM7,MAX(0,ROUND(ROUND(Долги!$D$19-SUM($AL7:$AU7),2)-(SUM($H7:H7)-SUM($AL7:AL7)),2)))</f>
        <v>6500.0</v>
      </c>
      <c r="J7" s="31">
        <f>AN7+MIN(T6+AD7-AN7,MAX(0,ROUND(ROUND(Долги!$D$19-SUM($AL7:$AU7),2)-(SUM($H7:I7)-SUM($AL7:AM7)),2)))</f>
        <v>12500.0</v>
      </c>
      <c r="K7" s="31">
        <f>AO7+MIN(U6+AE7-AO7,MAX(0,ROUND(ROUND(Долги!$D$19-SUM($AL7:$AU7),2)-(SUM($H7:J7)-SUM($AL7:AN7)),2)))</f>
        <v>0.0</v>
      </c>
      <c r="L7" s="31">
        <f>AP7+MIN(V6+AF7-AP7,MAX(0,ROUND(ROUND(Долги!$D$19-SUM($AL7:$AU7),2)-(SUM($H7:K7)-SUM($AL7:AO7)),2)))</f>
        <v>0.0</v>
      </c>
      <c r="M7" s="31">
        <f>AQ7+MIN(W6+AG7-AQ7,MAX(0,ROUND(ROUND(Долги!$D$19-SUM($AL7:$AU7),2)-(SUM($H7:L7)-SUM($AL7:AP7)),2)))</f>
        <v>0.0</v>
      </c>
      <c r="N7" s="31">
        <f>AR7+MIN(X6+AH7-AR7,MAX(0,ROUND(ROUND(Долги!$D$19-SUM($AL7:$AU7),2)-(SUM($H7:M7)-SUM($AL7:AQ7)),2)))</f>
        <v>0.0</v>
      </c>
      <c r="O7" s="31">
        <f>AS7+MIN(Y6+AI7-AS7,MAX(0,ROUND(ROUND(Долги!$D$19-SUM($AL7:$AU7),2)-(SUM($H7:N7)-SUM($AL7:AR7)),2)))</f>
        <v>0.0</v>
      </c>
      <c r="P7" s="31">
        <f>AT7+MIN(Z6+AJ7-AT7,MAX(0,ROUND(ROUND(Долги!$D$19-SUM($AL7:$AU7),2)-(SUM($H7:O7)-SUM($AL7:AS7)),2)))</f>
        <v>0.0</v>
      </c>
      <c r="Q7" s="31">
        <f>AU7+MIN(AA6+AK7-AU7,MAX(0,ROUND(ROUND(Долги!$D$19-SUM($AL7:$AU7),2)-(SUM($H7:P7)-SUM($AL7:AT7)),2)))</f>
        <v>0.0</v>
      </c>
      <c r="R7" s="31">
        <f>IF(R6+AB7-H7&lt;=0.01,0,ROUND(R6+AB7-H7,2))</f>
        <v>16000.0</v>
      </c>
      <c r="S7" s="31">
        <f>IF(S6+AC7-I7&lt;=0.01,0,ROUND(S6+AC7-I7,2))</f>
        <v>172642.21</v>
      </c>
      <c r="T7" s="31">
        <f>IF(T6+AD7-J7&lt;=0.01,0,ROUND(T6+AD7-J7,2))</f>
        <v>241485.77</v>
      </c>
      <c r="U7" s="31">
        <f>IF(U6+AE7-K7&lt;=0.01,0,ROUND(U6+AE7-K7,2))</f>
        <v>0.0</v>
      </c>
      <c r="V7" s="31">
        <f>IF(V6+AF7-L7&lt;=0.01,0,ROUND(V6+AF7-L7,2))</f>
        <v>0.0</v>
      </c>
      <c r="W7" s="31">
        <f>IF(W6+AG7-M7&lt;=0.01,0,ROUND(W6+AG7-M7,2))</f>
        <v>0.0</v>
      </c>
      <c r="X7" s="31">
        <f>IF(X6+AH7-N7&lt;=0.01,0,ROUND(X6+AH7-N7,2))</f>
        <v>0.0</v>
      </c>
      <c r="Y7" s="31">
        <f>IF(Y6+AI7-O7&lt;=0.01,0,ROUND(Y6+AI7-O7,2))</f>
        <v>0.0</v>
      </c>
      <c r="Z7" s="31">
        <f>IF(Z6+AJ7-P7&lt;=0.01,0,ROUND(Z6+AJ7-P7,2))</f>
        <v>0.0</v>
      </c>
      <c r="AA7" s="31">
        <f>IF(AA6+AK7-Q7&lt;=0.01,0,ROUND(AA6+AK7-Q7,2))</f>
        <v>0.0</v>
      </c>
      <c r="AB7" s="31">
        <f>ROUND(R6*AB$5/1200,2)</f>
        <v>0.0</v>
      </c>
      <c r="AC7" s="31">
        <f>ROUND(S6*AC$5/1200,2)</f>
        <v>2792.21</v>
      </c>
      <c r="AD7" s="31">
        <f>ROUND(T6*AD$5/1200,2)</f>
        <v>8173.27</v>
      </c>
      <c r="AE7" s="31">
        <f>ROUND(U6*AE$5/1200,2)</f>
        <v>0.0</v>
      </c>
      <c r="AF7" s="31">
        <f>ROUND(V6*AF$5/1200,2)</f>
        <v>0.0</v>
      </c>
      <c r="AG7" s="31">
        <f>ROUND(W6*AG$5/1200,2)</f>
        <v>0.0</v>
      </c>
      <c r="AH7" s="31">
        <f>ROUND(X6*AH$5/1200,2)</f>
        <v>0.0</v>
      </c>
      <c r="AI7" s="31">
        <f>ROUND(Y6*AI$5/1200,2)</f>
        <v>0.0</v>
      </c>
      <c r="AJ7" s="31">
        <f>ROUND(Z6*AJ$5/1200,2)</f>
        <v>0.0</v>
      </c>
      <c r="AK7" s="31">
        <f>ROUND(AA6*AK$5/1200,2)</f>
        <v>0.0</v>
      </c>
      <c r="AL7" s="31">
        <f>MIN(AL$5,R6+AB7)</f>
        <v>4000.0</v>
      </c>
      <c r="AM7" s="31">
        <f>MIN(AM$5,S6+AC7)</f>
        <v>6500.0</v>
      </c>
      <c r="AN7" s="31">
        <f>MIN(AN$5,T6+AD7)</f>
        <v>12500.0</v>
      </c>
      <c r="AO7" s="31">
        <f>MIN(AO$5,U6+AE7)</f>
        <v>0.0</v>
      </c>
      <c r="AP7" s="31">
        <f>MIN(AP$5,V6+AF7)</f>
        <v>0.0</v>
      </c>
      <c r="AQ7" s="31">
        <f>MIN(AQ$5,W6+AG7)</f>
        <v>0.0</v>
      </c>
      <c r="AR7" s="31">
        <f>MIN(AR$5,X6+AH7)</f>
        <v>0.0</v>
      </c>
      <c r="AS7" s="31">
        <f>MIN(AS$5,Y6+AI7)</f>
        <v>0.0</v>
      </c>
      <c r="AT7" s="31">
        <f>MIN(AT$5,Z6+AJ7)</f>
        <v>0.0</v>
      </c>
      <c r="AU7" s="31">
        <f>MIN(AU$5,AA6+AK7)</f>
        <v>0.0</v>
      </c>
    </row>
    <row r="8">
      <c r="A8" s="25">
        <f>IF(F7&gt;0.005,3,"")</f>
        <v>3</v>
      </c>
      <c r="B8" s="33">
        <f>IF(A8="","",EDATE(Долги!$D$5,2))</f>
        <v>46357</v>
      </c>
      <c r="C8" s="31">
        <f>SUM(H8:Q8)</f>
        <v>31000.0</v>
      </c>
      <c r="D8" s="31">
        <f>SUM(AB8:AK8)</f>
        <v>10762.9</v>
      </c>
      <c r="E8" s="31">
        <f>C8-D8</f>
        <v>20237.1</v>
      </c>
      <c r="F8" s="31">
        <f>SUM(R8:AA8)</f>
        <v>409890.88</v>
      </c>
      <c r="G8" s="34" t="str">
        <f>IF(OR(A8="",$F$5&lt;=0),"",REPT("█",ROUND(20*F8/$F$5,0)))</f>
        <v>█████████████████</v>
      </c>
      <c r="H8" s="31">
        <f>AL8+MIN(R7+AB8-AL8,MAX(0,ROUND(Долги!$D$19-SUM($AL8:$AU8),2)))</f>
        <v>12000.0</v>
      </c>
      <c r="I8" s="31">
        <f>AM8+MIN(S7+AC8-AM8,MAX(0,ROUND(ROUND(Долги!$D$19-SUM($AL8:$AU8),2)-(SUM($H8:H8)-SUM($AL8:AL8)),2)))</f>
        <v>6500.0</v>
      </c>
      <c r="J8" s="31">
        <f>AN8+MIN(T7+AD8-AN8,MAX(0,ROUND(ROUND(Долги!$D$19-SUM($AL8:$AU8),2)-(SUM($H8:I8)-SUM($AL8:AM8)),2)))</f>
        <v>12500.0</v>
      </c>
      <c r="K8" s="31">
        <f>AO8+MIN(U7+AE8-AO8,MAX(0,ROUND(ROUND(Долги!$D$19-SUM($AL8:$AU8),2)-(SUM($H8:J8)-SUM($AL8:AN8)),2)))</f>
        <v>0.0</v>
      </c>
      <c r="L8" s="31">
        <f>AP8+MIN(V7+AF8-AP8,MAX(0,ROUND(ROUND(Долги!$D$19-SUM($AL8:$AU8),2)-(SUM($H8:K8)-SUM($AL8:AO8)),2)))</f>
        <v>0.0</v>
      </c>
      <c r="M8" s="31">
        <f>AQ8+MIN(W7+AG8-AQ8,MAX(0,ROUND(ROUND(Долги!$D$19-SUM($AL8:$AU8),2)-(SUM($H8:L8)-SUM($AL8:AP8)),2)))</f>
        <v>0.0</v>
      </c>
      <c r="N8" s="31">
        <f>AR8+MIN(X7+AH8-AR8,MAX(0,ROUND(ROUND(Долги!$D$19-SUM($AL8:$AU8),2)-(SUM($H8:M8)-SUM($AL8:AQ8)),2)))</f>
        <v>0.0</v>
      </c>
      <c r="O8" s="31">
        <f>AS8+MIN(Y7+AI8-AS8,MAX(0,ROUND(ROUND(Долги!$D$19-SUM($AL8:$AU8),2)-(SUM($H8:N8)-SUM($AL8:AR8)),2)))</f>
        <v>0.0</v>
      </c>
      <c r="P8" s="31">
        <f>AT8+MIN(Z7+AJ8-AT8,MAX(0,ROUND(ROUND(Долги!$D$19-SUM($AL8:$AU8),2)-(SUM($H8:O8)-SUM($AL8:AS8)),2)))</f>
        <v>0.0</v>
      </c>
      <c r="Q8" s="31">
        <f>AU8+MIN(AA7+AK8-AU8,MAX(0,ROUND(ROUND(Долги!$D$19-SUM($AL8:$AU8),2)-(SUM($H8:P8)-SUM($AL8:AT8)),2)))</f>
        <v>0.0</v>
      </c>
      <c r="R8" s="31">
        <f>IF(R7+AB8-H8&lt;=0.01,0,ROUND(R7+AB8-H8,2))</f>
        <v>4000.0</v>
      </c>
      <c r="S8" s="31">
        <f>IF(S7+AC8-I8&lt;=0.01,0,ROUND(S7+AC8-I8,2))</f>
        <v>168875.71</v>
      </c>
      <c r="T8" s="31">
        <f>IF(T7+AD8-J8&lt;=0.01,0,ROUND(T7+AD8-J8,2))</f>
        <v>237015.17</v>
      </c>
      <c r="U8" s="31">
        <f>IF(U7+AE8-K8&lt;=0.01,0,ROUND(U7+AE8-K8,2))</f>
        <v>0.0</v>
      </c>
      <c r="V8" s="31">
        <f>IF(V7+AF8-L8&lt;=0.01,0,ROUND(V7+AF8-L8,2))</f>
        <v>0.0</v>
      </c>
      <c r="W8" s="31">
        <f>IF(W7+AG8-M8&lt;=0.01,0,ROUND(W7+AG8-M8,2))</f>
        <v>0.0</v>
      </c>
      <c r="X8" s="31">
        <f>IF(X7+AH8-N8&lt;=0.01,0,ROUND(X7+AH8-N8,2))</f>
        <v>0.0</v>
      </c>
      <c r="Y8" s="31">
        <f>IF(Y7+AI8-O8&lt;=0.01,0,ROUND(Y7+AI8-O8,2))</f>
        <v>0.0</v>
      </c>
      <c r="Z8" s="31">
        <f>IF(Z7+AJ8-P8&lt;=0.01,0,ROUND(Z7+AJ8-P8,2))</f>
        <v>0.0</v>
      </c>
      <c r="AA8" s="31">
        <f>IF(AA7+AK8-Q8&lt;=0.01,0,ROUND(AA7+AK8-Q8,2))</f>
        <v>0.0</v>
      </c>
      <c r="AB8" s="31">
        <f>ROUND(R7*AB$5/1200,2)</f>
        <v>0.0</v>
      </c>
      <c r="AC8" s="31">
        <f>ROUND(S7*AC$5/1200,2)</f>
        <v>2733.5</v>
      </c>
      <c r="AD8" s="31">
        <f>ROUND(T7*AD$5/1200,2)</f>
        <v>8029.4</v>
      </c>
      <c r="AE8" s="31">
        <f>ROUND(U7*AE$5/1200,2)</f>
        <v>0.0</v>
      </c>
      <c r="AF8" s="31">
        <f>ROUND(V7*AF$5/1200,2)</f>
        <v>0.0</v>
      </c>
      <c r="AG8" s="31">
        <f>ROUND(W7*AG$5/1200,2)</f>
        <v>0.0</v>
      </c>
      <c r="AH8" s="31">
        <f>ROUND(X7*AH$5/1200,2)</f>
        <v>0.0</v>
      </c>
      <c r="AI8" s="31">
        <f>ROUND(Y7*AI$5/1200,2)</f>
        <v>0.0</v>
      </c>
      <c r="AJ8" s="31">
        <f>ROUND(Z7*AJ$5/1200,2)</f>
        <v>0.0</v>
      </c>
      <c r="AK8" s="31">
        <f>ROUND(AA7*AK$5/1200,2)</f>
        <v>0.0</v>
      </c>
      <c r="AL8" s="31">
        <f>MIN(AL$5,R7+AB8)</f>
        <v>4000.0</v>
      </c>
      <c r="AM8" s="31">
        <f>MIN(AM$5,S7+AC8)</f>
        <v>6500.0</v>
      </c>
      <c r="AN8" s="31">
        <f>MIN(AN$5,T7+AD8)</f>
        <v>12500.0</v>
      </c>
      <c r="AO8" s="31">
        <f>MIN(AO$5,U7+AE8)</f>
        <v>0.0</v>
      </c>
      <c r="AP8" s="31">
        <f>MIN(AP$5,V7+AF8)</f>
        <v>0.0</v>
      </c>
      <c r="AQ8" s="31">
        <f>MIN(AQ$5,W7+AG8)</f>
        <v>0.0</v>
      </c>
      <c r="AR8" s="31">
        <f>MIN(AR$5,X7+AH8)</f>
        <v>0.0</v>
      </c>
      <c r="AS8" s="31">
        <f>MIN(AS$5,Y7+AI8)</f>
        <v>0.0</v>
      </c>
      <c r="AT8" s="31">
        <f>MIN(AT$5,Z7+AJ8)</f>
        <v>0.0</v>
      </c>
      <c r="AU8" s="31">
        <f>MIN(AU$5,AA7+AK8)</f>
        <v>0.0</v>
      </c>
    </row>
    <row r="9">
      <c r="A9" s="25">
        <f>IF(F8&gt;0.005,4,"")</f>
        <v>4</v>
      </c>
      <c r="B9" s="33">
        <f>IF(A9="","",EDATE(Долги!$D$5,3))</f>
        <v>46388</v>
      </c>
      <c r="C9" s="31">
        <f>SUM(H9:Q9)</f>
        <v>31000.0</v>
      </c>
      <c r="D9" s="31">
        <f>SUM(AB9:AK9)</f>
        <v>10554.62</v>
      </c>
      <c r="E9" s="31">
        <f>C9-D9</f>
        <v>20445.38</v>
      </c>
      <c r="F9" s="31">
        <f>SUM(R9:AA9)</f>
        <v>389445.5</v>
      </c>
      <c r="G9" s="34" t="str">
        <f>IF(OR(A9="",$F$5&lt;=0),"",REPT("█",ROUND(20*F9/$F$5,0)))</f>
        <v>█████████████████</v>
      </c>
      <c r="H9" s="31">
        <f>AL9+MIN(R8+AB9-AL9,MAX(0,ROUND(Долги!$D$19-SUM($AL9:$AU9),2)))</f>
        <v>4000.0</v>
      </c>
      <c r="I9" s="31">
        <f>AM9+MIN(S8+AC9-AM9,MAX(0,ROUND(ROUND(Долги!$D$19-SUM($AL9:$AU9),2)-(SUM($H9:H9)-SUM($AL9:AL9)),2)))</f>
        <v>14500.0</v>
      </c>
      <c r="J9" s="31">
        <f>AN9+MIN(T8+AD9-AN9,MAX(0,ROUND(ROUND(Долги!$D$19-SUM($AL9:$AU9),2)-(SUM($H9:I9)-SUM($AL9:AM9)),2)))</f>
        <v>12500.0</v>
      </c>
      <c r="K9" s="31">
        <f>AO9+MIN(U8+AE9-AO9,MAX(0,ROUND(ROUND(Долги!$D$19-SUM($AL9:$AU9),2)-(SUM($H9:J9)-SUM($AL9:AN9)),2)))</f>
        <v>0.0</v>
      </c>
      <c r="L9" s="31">
        <f>AP9+MIN(V8+AF9-AP9,MAX(0,ROUND(ROUND(Долги!$D$19-SUM($AL9:$AU9),2)-(SUM($H9:K9)-SUM($AL9:AO9)),2)))</f>
        <v>0.0</v>
      </c>
      <c r="M9" s="31">
        <f>AQ9+MIN(W8+AG9-AQ9,MAX(0,ROUND(ROUND(Долги!$D$19-SUM($AL9:$AU9),2)-(SUM($H9:L9)-SUM($AL9:AP9)),2)))</f>
        <v>0.0</v>
      </c>
      <c r="N9" s="31">
        <f>AR9+MIN(X8+AH9-AR9,MAX(0,ROUND(ROUND(Долги!$D$19-SUM($AL9:$AU9),2)-(SUM($H9:M9)-SUM($AL9:AQ9)),2)))</f>
        <v>0.0</v>
      </c>
      <c r="O9" s="31">
        <f>AS9+MIN(Y8+AI9-AS9,MAX(0,ROUND(ROUND(Долги!$D$19-SUM($AL9:$AU9),2)-(SUM($H9:N9)-SUM($AL9:AR9)),2)))</f>
        <v>0.0</v>
      </c>
      <c r="P9" s="31">
        <f>AT9+MIN(Z8+AJ9-AT9,MAX(0,ROUND(ROUND(Долги!$D$19-SUM($AL9:$AU9),2)-(SUM($H9:O9)-SUM($AL9:AS9)),2)))</f>
        <v>0.0</v>
      </c>
      <c r="Q9" s="31">
        <f>AU9+MIN(AA8+AK9-AU9,MAX(0,ROUND(ROUND(Долги!$D$19-SUM($AL9:$AU9),2)-(SUM($H9:P9)-SUM($AL9:AT9)),2)))</f>
        <v>0.0</v>
      </c>
      <c r="R9" s="31">
        <f>IF(R8+AB9-H9&lt;=0.01,0,ROUND(R8+AB9-H9,2))</f>
        <v>0.0</v>
      </c>
      <c r="S9" s="31">
        <f>IF(S8+AC9-I9&lt;=0.01,0,ROUND(S8+AC9-I9,2))</f>
        <v>157049.58</v>
      </c>
      <c r="T9" s="31">
        <f>IF(T8+AD9-J9&lt;=0.01,0,ROUND(T8+AD9-J9,2))</f>
        <v>232395.92</v>
      </c>
      <c r="U9" s="31">
        <f>IF(U8+AE9-K9&lt;=0.01,0,ROUND(U8+AE9-K9,2))</f>
        <v>0.0</v>
      </c>
      <c r="V9" s="31">
        <f>IF(V8+AF9-L9&lt;=0.01,0,ROUND(V8+AF9-L9,2))</f>
        <v>0.0</v>
      </c>
      <c r="W9" s="31">
        <f>IF(W8+AG9-M9&lt;=0.01,0,ROUND(W8+AG9-M9,2))</f>
        <v>0.0</v>
      </c>
      <c r="X9" s="31">
        <f>IF(X8+AH9-N9&lt;=0.01,0,ROUND(X8+AH9-N9,2))</f>
        <v>0.0</v>
      </c>
      <c r="Y9" s="31">
        <f>IF(Y8+AI9-O9&lt;=0.01,0,ROUND(Y8+AI9-O9,2))</f>
        <v>0.0</v>
      </c>
      <c r="Z9" s="31">
        <f>IF(Z8+AJ9-P9&lt;=0.01,0,ROUND(Z8+AJ9-P9,2))</f>
        <v>0.0</v>
      </c>
      <c r="AA9" s="31">
        <f>IF(AA8+AK9-Q9&lt;=0.01,0,ROUND(AA8+AK9-Q9,2))</f>
        <v>0.0</v>
      </c>
      <c r="AB9" s="31">
        <f>ROUND(R8*AB$5/1200,2)</f>
        <v>0.0</v>
      </c>
      <c r="AC9" s="31">
        <f>ROUND(S8*AC$5/1200,2)</f>
        <v>2673.87</v>
      </c>
      <c r="AD9" s="31">
        <f>ROUND(T8*AD$5/1200,2)</f>
        <v>7880.75</v>
      </c>
      <c r="AE9" s="31">
        <f>ROUND(U8*AE$5/1200,2)</f>
        <v>0.0</v>
      </c>
      <c r="AF9" s="31">
        <f>ROUND(V8*AF$5/1200,2)</f>
        <v>0.0</v>
      </c>
      <c r="AG9" s="31">
        <f>ROUND(W8*AG$5/1200,2)</f>
        <v>0.0</v>
      </c>
      <c r="AH9" s="31">
        <f>ROUND(X8*AH$5/1200,2)</f>
        <v>0.0</v>
      </c>
      <c r="AI9" s="31">
        <f>ROUND(Y8*AI$5/1200,2)</f>
        <v>0.0</v>
      </c>
      <c r="AJ9" s="31">
        <f>ROUND(Z8*AJ$5/1200,2)</f>
        <v>0.0</v>
      </c>
      <c r="AK9" s="31">
        <f>ROUND(AA8*AK$5/1200,2)</f>
        <v>0.0</v>
      </c>
      <c r="AL9" s="31">
        <f>MIN(AL$5,R8+AB9)</f>
        <v>4000.0</v>
      </c>
      <c r="AM9" s="31">
        <f>MIN(AM$5,S8+AC9)</f>
        <v>6500.0</v>
      </c>
      <c r="AN9" s="31">
        <f>MIN(AN$5,T8+AD9)</f>
        <v>12500.0</v>
      </c>
      <c r="AO9" s="31">
        <f>MIN(AO$5,U8+AE9)</f>
        <v>0.0</v>
      </c>
      <c r="AP9" s="31">
        <f>MIN(AP$5,V8+AF9)</f>
        <v>0.0</v>
      </c>
      <c r="AQ9" s="31">
        <f>MIN(AQ$5,W8+AG9)</f>
        <v>0.0</v>
      </c>
      <c r="AR9" s="31">
        <f>MIN(AR$5,X8+AH9)</f>
        <v>0.0</v>
      </c>
      <c r="AS9" s="31">
        <f>MIN(AS$5,Y8+AI9)</f>
        <v>0.0</v>
      </c>
      <c r="AT9" s="31">
        <f>MIN(AT$5,Z8+AJ9)</f>
        <v>0.0</v>
      </c>
      <c r="AU9" s="31">
        <f>MIN(AU$5,AA8+AK9)</f>
        <v>0.0</v>
      </c>
    </row>
    <row r="10">
      <c r="A10" s="25">
        <f>IF(F9&gt;0.005,5,"")</f>
        <v>5</v>
      </c>
      <c r="B10" s="33">
        <f>IF(A10="","",EDATE(Долги!$D$5,4))</f>
        <v>46419</v>
      </c>
      <c r="C10" s="31">
        <f>SUM(H10:Q10)</f>
        <v>31000.0</v>
      </c>
      <c r="D10" s="31">
        <f>SUM(AB10:AK10)</f>
        <v>10213.78</v>
      </c>
      <c r="E10" s="31">
        <f>C10-D10</f>
        <v>20786.22</v>
      </c>
      <c r="F10" s="31">
        <f>SUM(R10:AA10)</f>
        <v>368659.28</v>
      </c>
      <c r="G10" s="34" t="str">
        <f>IF(OR(A10="",$F$5&lt;=0),"",REPT("█",ROUND(20*F10/$F$5,0)))</f>
        <v>████████████████</v>
      </c>
      <c r="H10" s="31">
        <f>AL10+MIN(R9+AB10-AL10,MAX(0,ROUND(Долги!$D$19-SUM($AL10:$AU10),2)))</f>
        <v>0.0</v>
      </c>
      <c r="I10" s="31">
        <f>AM10+MIN(S9+AC10-AM10,MAX(0,ROUND(ROUND(Долги!$D$19-SUM($AL10:$AU10),2)-(SUM($H10:H10)-SUM($AL10:AL10)),2)))</f>
        <v>18500.0</v>
      </c>
      <c r="J10" s="31">
        <f>AN10+MIN(T9+AD10-AN10,MAX(0,ROUND(ROUND(Долги!$D$19-SUM($AL10:$AU10),2)-(SUM($H10:I10)-SUM($AL10:AM10)),2)))</f>
        <v>12500.0</v>
      </c>
      <c r="K10" s="31">
        <f>AO10+MIN(U9+AE10-AO10,MAX(0,ROUND(ROUND(Долги!$D$19-SUM($AL10:$AU10),2)-(SUM($H10:J10)-SUM($AL10:AN10)),2)))</f>
        <v>0.0</v>
      </c>
      <c r="L10" s="31">
        <f>AP10+MIN(V9+AF10-AP10,MAX(0,ROUND(ROUND(Долги!$D$19-SUM($AL10:$AU10),2)-(SUM($H10:K10)-SUM($AL10:AO10)),2)))</f>
        <v>0.0</v>
      </c>
      <c r="M10" s="31">
        <f>AQ10+MIN(W9+AG10-AQ10,MAX(0,ROUND(ROUND(Долги!$D$19-SUM($AL10:$AU10),2)-(SUM($H10:L10)-SUM($AL10:AP10)),2)))</f>
        <v>0.0</v>
      </c>
      <c r="N10" s="31">
        <f>AR10+MIN(X9+AH10-AR10,MAX(0,ROUND(ROUND(Долги!$D$19-SUM($AL10:$AU10),2)-(SUM($H10:M10)-SUM($AL10:AQ10)),2)))</f>
        <v>0.0</v>
      </c>
      <c r="O10" s="31">
        <f>AS10+MIN(Y9+AI10-AS10,MAX(0,ROUND(ROUND(Долги!$D$19-SUM($AL10:$AU10),2)-(SUM($H10:N10)-SUM($AL10:AR10)),2)))</f>
        <v>0.0</v>
      </c>
      <c r="P10" s="31">
        <f>AT10+MIN(Z9+AJ10-AT10,MAX(0,ROUND(ROUND(Долги!$D$19-SUM($AL10:$AU10),2)-(SUM($H10:O10)-SUM($AL10:AS10)),2)))</f>
        <v>0.0</v>
      </c>
      <c r="Q10" s="31">
        <f>AU10+MIN(AA9+AK10-AU10,MAX(0,ROUND(ROUND(Долги!$D$19-SUM($AL10:$AU10),2)-(SUM($H10:P10)-SUM($AL10:AT10)),2)))</f>
        <v>0.0</v>
      </c>
      <c r="R10" s="31">
        <f>IF(R9+AB10-H10&lt;=0.01,0,ROUND(R9+AB10-H10,2))</f>
        <v>0.0</v>
      </c>
      <c r="S10" s="31">
        <f>IF(S9+AC10-I10&lt;=0.01,0,ROUND(S9+AC10-I10,2))</f>
        <v>141036.2</v>
      </c>
      <c r="T10" s="31">
        <f>IF(T9+AD10-J10&lt;=0.01,0,ROUND(T9+AD10-J10,2))</f>
        <v>227623.08</v>
      </c>
      <c r="U10" s="31">
        <f>IF(U9+AE10-K10&lt;=0.01,0,ROUND(U9+AE10-K10,2))</f>
        <v>0.0</v>
      </c>
      <c r="V10" s="31">
        <f>IF(V9+AF10-L10&lt;=0.01,0,ROUND(V9+AF10-L10,2))</f>
        <v>0.0</v>
      </c>
      <c r="W10" s="31">
        <f>IF(W9+AG10-M10&lt;=0.01,0,ROUND(W9+AG10-M10,2))</f>
        <v>0.0</v>
      </c>
      <c r="X10" s="31">
        <f>IF(X9+AH10-N10&lt;=0.01,0,ROUND(X9+AH10-N10,2))</f>
        <v>0.0</v>
      </c>
      <c r="Y10" s="31">
        <f>IF(Y9+AI10-O10&lt;=0.01,0,ROUND(Y9+AI10-O10,2))</f>
        <v>0.0</v>
      </c>
      <c r="Z10" s="31">
        <f>IF(Z9+AJ10-P10&lt;=0.01,0,ROUND(Z9+AJ10-P10,2))</f>
        <v>0.0</v>
      </c>
      <c r="AA10" s="31">
        <f>IF(AA9+AK10-Q10&lt;=0.01,0,ROUND(AA9+AK10-Q10,2))</f>
        <v>0.0</v>
      </c>
      <c r="AB10" s="31">
        <f>ROUND(R9*AB$5/1200,2)</f>
        <v>0.0</v>
      </c>
      <c r="AC10" s="31">
        <f>ROUND(S9*AC$5/1200,2)</f>
        <v>2486.62</v>
      </c>
      <c r="AD10" s="31">
        <f>ROUND(T9*AD$5/1200,2)</f>
        <v>7727.16</v>
      </c>
      <c r="AE10" s="31">
        <f>ROUND(U9*AE$5/1200,2)</f>
        <v>0.0</v>
      </c>
      <c r="AF10" s="31">
        <f>ROUND(V9*AF$5/1200,2)</f>
        <v>0.0</v>
      </c>
      <c r="AG10" s="31">
        <f>ROUND(W9*AG$5/1200,2)</f>
        <v>0.0</v>
      </c>
      <c r="AH10" s="31">
        <f>ROUND(X9*AH$5/1200,2)</f>
        <v>0.0</v>
      </c>
      <c r="AI10" s="31">
        <f>ROUND(Y9*AI$5/1200,2)</f>
        <v>0.0</v>
      </c>
      <c r="AJ10" s="31">
        <f>ROUND(Z9*AJ$5/1200,2)</f>
        <v>0.0</v>
      </c>
      <c r="AK10" s="31">
        <f>ROUND(AA9*AK$5/1200,2)</f>
        <v>0.0</v>
      </c>
      <c r="AL10" s="31">
        <f>MIN(AL$5,R9+AB10)</f>
        <v>0.0</v>
      </c>
      <c r="AM10" s="31">
        <f>MIN(AM$5,S9+AC10)</f>
        <v>6500.0</v>
      </c>
      <c r="AN10" s="31">
        <f>MIN(AN$5,T9+AD10)</f>
        <v>12500.0</v>
      </c>
      <c r="AO10" s="31">
        <f>MIN(AO$5,U9+AE10)</f>
        <v>0.0</v>
      </c>
      <c r="AP10" s="31">
        <f>MIN(AP$5,V9+AF10)</f>
        <v>0.0</v>
      </c>
      <c r="AQ10" s="31">
        <f>MIN(AQ$5,W9+AG10)</f>
        <v>0.0</v>
      </c>
      <c r="AR10" s="31">
        <f>MIN(AR$5,X9+AH10)</f>
        <v>0.0</v>
      </c>
      <c r="AS10" s="31">
        <f>MIN(AS$5,Y9+AI10)</f>
        <v>0.0</v>
      </c>
      <c r="AT10" s="31">
        <f>MIN(AT$5,Z9+AJ10)</f>
        <v>0.0</v>
      </c>
      <c r="AU10" s="31">
        <f>MIN(AU$5,AA9+AK10)</f>
        <v>0.0</v>
      </c>
    </row>
    <row r="11">
      <c r="A11" s="25">
        <f>IF(F10&gt;0.005,6,"")</f>
        <v>6</v>
      </c>
      <c r="B11" s="33">
        <f>IF(A11="","",EDATE(Долги!$D$5,5))</f>
        <v>46447</v>
      </c>
      <c r="C11" s="31">
        <f>SUM(H11:Q11)</f>
        <v>31000.0</v>
      </c>
      <c r="D11" s="31">
        <f>SUM(AB11:AK11)</f>
        <v>9801.54</v>
      </c>
      <c r="E11" s="31">
        <f>C11-D11</f>
        <v>21198.46</v>
      </c>
      <c r="F11" s="31">
        <f>SUM(R11:AA11)</f>
        <v>347460.82</v>
      </c>
      <c r="G11" s="34" t="str">
        <f>IF(OR(A11="",$F$5&lt;=0),"",REPT("█",ROUND(20*F11/$F$5,0)))</f>
        <v>███████████████</v>
      </c>
      <c r="H11" s="31">
        <f>AL11+MIN(R10+AB11-AL11,MAX(0,ROUND(Долги!$D$19-SUM($AL11:$AU11),2)))</f>
        <v>0.0</v>
      </c>
      <c r="I11" s="31">
        <f>AM11+MIN(S10+AC11-AM11,MAX(0,ROUND(ROUND(Долги!$D$19-SUM($AL11:$AU11),2)-(SUM($H11:H11)-SUM($AL11:AL11)),2)))</f>
        <v>18500.0</v>
      </c>
      <c r="J11" s="31">
        <f>AN11+MIN(T10+AD11-AN11,MAX(0,ROUND(ROUND(Долги!$D$19-SUM($AL11:$AU11),2)-(SUM($H11:I11)-SUM($AL11:AM11)),2)))</f>
        <v>12500.0</v>
      </c>
      <c r="K11" s="31">
        <f>AO11+MIN(U10+AE11-AO11,MAX(0,ROUND(ROUND(Долги!$D$19-SUM($AL11:$AU11),2)-(SUM($H11:J11)-SUM($AL11:AN11)),2)))</f>
        <v>0.0</v>
      </c>
      <c r="L11" s="31">
        <f>AP11+MIN(V10+AF11-AP11,MAX(0,ROUND(ROUND(Долги!$D$19-SUM($AL11:$AU11),2)-(SUM($H11:K11)-SUM($AL11:AO11)),2)))</f>
        <v>0.0</v>
      </c>
      <c r="M11" s="31">
        <f>AQ11+MIN(W10+AG11-AQ11,MAX(0,ROUND(ROUND(Долги!$D$19-SUM($AL11:$AU11),2)-(SUM($H11:L11)-SUM($AL11:AP11)),2)))</f>
        <v>0.0</v>
      </c>
      <c r="N11" s="31">
        <f>AR11+MIN(X10+AH11-AR11,MAX(0,ROUND(ROUND(Долги!$D$19-SUM($AL11:$AU11),2)-(SUM($H11:M11)-SUM($AL11:AQ11)),2)))</f>
        <v>0.0</v>
      </c>
      <c r="O11" s="31">
        <f>AS11+MIN(Y10+AI11-AS11,MAX(0,ROUND(ROUND(Долги!$D$19-SUM($AL11:$AU11),2)-(SUM($H11:N11)-SUM($AL11:AR11)),2)))</f>
        <v>0.0</v>
      </c>
      <c r="P11" s="31">
        <f>AT11+MIN(Z10+AJ11-AT11,MAX(0,ROUND(ROUND(Долги!$D$19-SUM($AL11:$AU11),2)-(SUM($H11:O11)-SUM($AL11:AS11)),2)))</f>
        <v>0.0</v>
      </c>
      <c r="Q11" s="31">
        <f>AU11+MIN(AA10+AK11-AU11,MAX(0,ROUND(ROUND(Долги!$D$19-SUM($AL11:$AU11),2)-(SUM($H11:P11)-SUM($AL11:AT11)),2)))</f>
        <v>0.0</v>
      </c>
      <c r="R11" s="31">
        <f>IF(R10+AB11-H11&lt;=0.01,0,ROUND(R10+AB11-H11,2))</f>
        <v>0.0</v>
      </c>
      <c r="S11" s="31">
        <f>IF(S10+AC11-I11&lt;=0.01,0,ROUND(S10+AC11-I11,2))</f>
        <v>124769.27</v>
      </c>
      <c r="T11" s="31">
        <f>IF(T10+AD11-J11&lt;=0.01,0,ROUND(T10+AD11-J11,2))</f>
        <v>222691.55</v>
      </c>
      <c r="U11" s="31">
        <f>IF(U10+AE11-K11&lt;=0.01,0,ROUND(U10+AE11-K11,2))</f>
        <v>0.0</v>
      </c>
      <c r="V11" s="31">
        <f>IF(V10+AF11-L11&lt;=0.01,0,ROUND(V10+AF11-L11,2))</f>
        <v>0.0</v>
      </c>
      <c r="W11" s="31">
        <f>IF(W10+AG11-M11&lt;=0.01,0,ROUND(W10+AG11-M11,2))</f>
        <v>0.0</v>
      </c>
      <c r="X11" s="31">
        <f>IF(X10+AH11-N11&lt;=0.01,0,ROUND(X10+AH11-N11,2))</f>
        <v>0.0</v>
      </c>
      <c r="Y11" s="31">
        <f>IF(Y10+AI11-O11&lt;=0.01,0,ROUND(Y10+AI11-O11,2))</f>
        <v>0.0</v>
      </c>
      <c r="Z11" s="31">
        <f>IF(Z10+AJ11-P11&lt;=0.01,0,ROUND(Z10+AJ11-P11,2))</f>
        <v>0.0</v>
      </c>
      <c r="AA11" s="31">
        <f>IF(AA10+AK11-Q11&lt;=0.01,0,ROUND(AA10+AK11-Q11,2))</f>
        <v>0.0</v>
      </c>
      <c r="AB11" s="31">
        <f>ROUND(R10*AB$5/1200,2)</f>
        <v>0.0</v>
      </c>
      <c r="AC11" s="31">
        <f>ROUND(S10*AC$5/1200,2)</f>
        <v>2233.07</v>
      </c>
      <c r="AD11" s="31">
        <f>ROUND(T10*AD$5/1200,2)</f>
        <v>7568.47</v>
      </c>
      <c r="AE11" s="31">
        <f>ROUND(U10*AE$5/1200,2)</f>
        <v>0.0</v>
      </c>
      <c r="AF11" s="31">
        <f>ROUND(V10*AF$5/1200,2)</f>
        <v>0.0</v>
      </c>
      <c r="AG11" s="31">
        <f>ROUND(W10*AG$5/1200,2)</f>
        <v>0.0</v>
      </c>
      <c r="AH11" s="31">
        <f>ROUND(X10*AH$5/1200,2)</f>
        <v>0.0</v>
      </c>
      <c r="AI11" s="31">
        <f>ROUND(Y10*AI$5/1200,2)</f>
        <v>0.0</v>
      </c>
      <c r="AJ11" s="31">
        <f>ROUND(Z10*AJ$5/1200,2)</f>
        <v>0.0</v>
      </c>
      <c r="AK11" s="31">
        <f>ROUND(AA10*AK$5/1200,2)</f>
        <v>0.0</v>
      </c>
      <c r="AL11" s="31">
        <f>MIN(AL$5,R10+AB11)</f>
        <v>0.0</v>
      </c>
      <c r="AM11" s="31">
        <f>MIN(AM$5,S10+AC11)</f>
        <v>6500.0</v>
      </c>
      <c r="AN11" s="31">
        <f>MIN(AN$5,T10+AD11)</f>
        <v>12500.0</v>
      </c>
      <c r="AO11" s="31">
        <f>MIN(AO$5,U10+AE11)</f>
        <v>0.0</v>
      </c>
      <c r="AP11" s="31">
        <f>MIN(AP$5,V10+AF11)</f>
        <v>0.0</v>
      </c>
      <c r="AQ11" s="31">
        <f>MIN(AQ$5,W10+AG11)</f>
        <v>0.0</v>
      </c>
      <c r="AR11" s="31">
        <f>MIN(AR$5,X10+AH11)</f>
        <v>0.0</v>
      </c>
      <c r="AS11" s="31">
        <f>MIN(AS$5,Y10+AI11)</f>
        <v>0.0</v>
      </c>
      <c r="AT11" s="31">
        <f>MIN(AT$5,Z10+AJ11)</f>
        <v>0.0</v>
      </c>
      <c r="AU11" s="31">
        <f>MIN(AU$5,AA10+AK11)</f>
        <v>0.0</v>
      </c>
    </row>
    <row r="12">
      <c r="A12" s="25">
        <f>IF(F11&gt;0.005,7,"")</f>
        <v>7</v>
      </c>
      <c r="B12" s="33">
        <f>IF(A12="","",EDATE(Долги!$D$5,6))</f>
        <v>46478</v>
      </c>
      <c r="C12" s="31">
        <f>SUM(H12:Q12)</f>
        <v>31000.0</v>
      </c>
      <c r="D12" s="31">
        <f>SUM(AB12:AK12)</f>
        <v>9380.0</v>
      </c>
      <c r="E12" s="31">
        <f>C12-D12</f>
        <v>21620.0</v>
      </c>
      <c r="F12" s="31">
        <f>SUM(R12:AA12)</f>
        <v>325840.82</v>
      </c>
      <c r="G12" s="34" t="str">
        <f>IF(OR(A12="",$F$5&lt;=0),"",REPT("█",ROUND(20*F12/$F$5,0)))</f>
        <v>██████████████</v>
      </c>
      <c r="H12" s="31">
        <f>AL12+MIN(R11+AB12-AL12,MAX(0,ROUND(Долги!$D$19-SUM($AL12:$AU12),2)))</f>
        <v>0.0</v>
      </c>
      <c r="I12" s="31">
        <f>AM12+MIN(S11+AC12-AM12,MAX(0,ROUND(ROUND(Долги!$D$19-SUM($AL12:$AU12),2)-(SUM($H12:H12)-SUM($AL12:AL12)),2)))</f>
        <v>18500.0</v>
      </c>
      <c r="J12" s="31">
        <f>AN12+MIN(T11+AD12-AN12,MAX(0,ROUND(ROUND(Долги!$D$19-SUM($AL12:$AU12),2)-(SUM($H12:I12)-SUM($AL12:AM12)),2)))</f>
        <v>12500.0</v>
      </c>
      <c r="K12" s="31">
        <f>AO12+MIN(U11+AE12-AO12,MAX(0,ROUND(ROUND(Долги!$D$19-SUM($AL12:$AU12),2)-(SUM($H12:J12)-SUM($AL12:AN12)),2)))</f>
        <v>0.0</v>
      </c>
      <c r="L12" s="31">
        <f>AP12+MIN(V11+AF12-AP12,MAX(0,ROUND(ROUND(Долги!$D$19-SUM($AL12:$AU12),2)-(SUM($H12:K12)-SUM($AL12:AO12)),2)))</f>
        <v>0.0</v>
      </c>
      <c r="M12" s="31">
        <f>AQ12+MIN(W11+AG12-AQ12,MAX(0,ROUND(ROUND(Долги!$D$19-SUM($AL12:$AU12),2)-(SUM($H12:L12)-SUM($AL12:AP12)),2)))</f>
        <v>0.0</v>
      </c>
      <c r="N12" s="31">
        <f>AR12+MIN(X11+AH12-AR12,MAX(0,ROUND(ROUND(Долги!$D$19-SUM($AL12:$AU12),2)-(SUM($H12:M12)-SUM($AL12:AQ12)),2)))</f>
        <v>0.0</v>
      </c>
      <c r="O12" s="31">
        <f>AS12+MIN(Y11+AI12-AS12,MAX(0,ROUND(ROUND(Долги!$D$19-SUM($AL12:$AU12),2)-(SUM($H12:N12)-SUM($AL12:AR12)),2)))</f>
        <v>0.0</v>
      </c>
      <c r="P12" s="31">
        <f>AT12+MIN(Z11+AJ12-AT12,MAX(0,ROUND(ROUND(Долги!$D$19-SUM($AL12:$AU12),2)-(SUM($H12:O12)-SUM($AL12:AS12)),2)))</f>
        <v>0.0</v>
      </c>
      <c r="Q12" s="31">
        <f>AU12+MIN(AA11+AK12-AU12,MAX(0,ROUND(ROUND(Долги!$D$19-SUM($AL12:$AU12),2)-(SUM($H12:P12)-SUM($AL12:AT12)),2)))</f>
        <v>0.0</v>
      </c>
      <c r="R12" s="31">
        <f>IF(R11+AB12-H12&lt;=0.01,0,ROUND(R11+AB12-H12,2))</f>
        <v>0.0</v>
      </c>
      <c r="S12" s="31">
        <f>IF(S11+AC12-I12&lt;=0.01,0,ROUND(S11+AC12-I12,2))</f>
        <v>108244.78</v>
      </c>
      <c r="T12" s="31">
        <f>IF(T11+AD12-J12&lt;=0.01,0,ROUND(T11+AD12-J12,2))</f>
        <v>217596.04</v>
      </c>
      <c r="U12" s="31">
        <f>IF(U11+AE12-K12&lt;=0.01,0,ROUND(U11+AE12-K12,2))</f>
        <v>0.0</v>
      </c>
      <c r="V12" s="31">
        <f>IF(V11+AF12-L12&lt;=0.01,0,ROUND(V11+AF12-L12,2))</f>
        <v>0.0</v>
      </c>
      <c r="W12" s="31">
        <f>IF(W11+AG12-M12&lt;=0.01,0,ROUND(W11+AG12-M12,2))</f>
        <v>0.0</v>
      </c>
      <c r="X12" s="31">
        <f>IF(X11+AH12-N12&lt;=0.01,0,ROUND(X11+AH12-N12,2))</f>
        <v>0.0</v>
      </c>
      <c r="Y12" s="31">
        <f>IF(Y11+AI12-O12&lt;=0.01,0,ROUND(Y11+AI12-O12,2))</f>
        <v>0.0</v>
      </c>
      <c r="Z12" s="31">
        <f>IF(Z11+AJ12-P12&lt;=0.01,0,ROUND(Z11+AJ12-P12,2))</f>
        <v>0.0</v>
      </c>
      <c r="AA12" s="31">
        <f>IF(AA11+AK12-Q12&lt;=0.01,0,ROUND(AA11+AK12-Q12,2))</f>
        <v>0.0</v>
      </c>
      <c r="AB12" s="31">
        <f>ROUND(R11*AB$5/1200,2)</f>
        <v>0.0</v>
      </c>
      <c r="AC12" s="31">
        <f>ROUND(S11*AC$5/1200,2)</f>
        <v>1975.51</v>
      </c>
      <c r="AD12" s="31">
        <f>ROUND(T11*AD$5/1200,2)</f>
        <v>7404.49</v>
      </c>
      <c r="AE12" s="31">
        <f>ROUND(U11*AE$5/1200,2)</f>
        <v>0.0</v>
      </c>
      <c r="AF12" s="31">
        <f>ROUND(V11*AF$5/1200,2)</f>
        <v>0.0</v>
      </c>
      <c r="AG12" s="31">
        <f>ROUND(W11*AG$5/1200,2)</f>
        <v>0.0</v>
      </c>
      <c r="AH12" s="31">
        <f>ROUND(X11*AH$5/1200,2)</f>
        <v>0.0</v>
      </c>
      <c r="AI12" s="31">
        <f>ROUND(Y11*AI$5/1200,2)</f>
        <v>0.0</v>
      </c>
      <c r="AJ12" s="31">
        <f>ROUND(Z11*AJ$5/1200,2)</f>
        <v>0.0</v>
      </c>
      <c r="AK12" s="31">
        <f>ROUND(AA11*AK$5/1200,2)</f>
        <v>0.0</v>
      </c>
      <c r="AL12" s="31">
        <f>MIN(AL$5,R11+AB12)</f>
        <v>0.0</v>
      </c>
      <c r="AM12" s="31">
        <f>MIN(AM$5,S11+AC12)</f>
        <v>6500.0</v>
      </c>
      <c r="AN12" s="31">
        <f>MIN(AN$5,T11+AD12)</f>
        <v>12500.0</v>
      </c>
      <c r="AO12" s="31">
        <f>MIN(AO$5,U11+AE12)</f>
        <v>0.0</v>
      </c>
      <c r="AP12" s="31">
        <f>MIN(AP$5,V11+AF12)</f>
        <v>0.0</v>
      </c>
      <c r="AQ12" s="31">
        <f>MIN(AQ$5,W11+AG12)</f>
        <v>0.0</v>
      </c>
      <c r="AR12" s="31">
        <f>MIN(AR$5,X11+AH12)</f>
        <v>0.0</v>
      </c>
      <c r="AS12" s="31">
        <f>MIN(AS$5,Y11+AI12)</f>
        <v>0.0</v>
      </c>
      <c r="AT12" s="31">
        <f>MIN(AT$5,Z11+AJ12)</f>
        <v>0.0</v>
      </c>
      <c r="AU12" s="31">
        <f>MIN(AU$5,AA11+AK12)</f>
        <v>0.0</v>
      </c>
    </row>
    <row r="13">
      <c r="A13" s="25">
        <f>IF(F12&gt;0.005,8,"")</f>
        <v>8</v>
      </c>
      <c r="B13" s="33">
        <f>IF(A13="","",EDATE(Долги!$D$5,7))</f>
        <v>46508</v>
      </c>
      <c r="C13" s="31">
        <f>SUM(H13:Q13)</f>
        <v>31000.0</v>
      </c>
      <c r="D13" s="31">
        <f>SUM(AB13:AK13)</f>
        <v>8948.95</v>
      </c>
      <c r="E13" s="31">
        <f>C13-D13</f>
        <v>22051.05</v>
      </c>
      <c r="F13" s="31">
        <f>SUM(R13:AA13)</f>
        <v>303789.77</v>
      </c>
      <c r="G13" s="34" t="str">
        <f>IF(OR(A13="",$F$5&lt;=0),"",REPT("█",ROUND(20*F13/$F$5,0)))</f>
        <v>█████████████</v>
      </c>
      <c r="H13" s="31">
        <f>AL13+MIN(R12+AB13-AL13,MAX(0,ROUND(Долги!$D$19-SUM($AL13:$AU13),2)))</f>
        <v>0.0</v>
      </c>
      <c r="I13" s="31">
        <f>AM13+MIN(S12+AC13-AM13,MAX(0,ROUND(ROUND(Долги!$D$19-SUM($AL13:$AU13),2)-(SUM($H13:H13)-SUM($AL13:AL13)),2)))</f>
        <v>18500.0</v>
      </c>
      <c r="J13" s="31">
        <f>AN13+MIN(T12+AD13-AN13,MAX(0,ROUND(ROUND(Долги!$D$19-SUM($AL13:$AU13),2)-(SUM($H13:I13)-SUM($AL13:AM13)),2)))</f>
        <v>12500.0</v>
      </c>
      <c r="K13" s="31">
        <f>AO13+MIN(U12+AE13-AO13,MAX(0,ROUND(ROUND(Долги!$D$19-SUM($AL13:$AU13),2)-(SUM($H13:J13)-SUM($AL13:AN13)),2)))</f>
        <v>0.0</v>
      </c>
      <c r="L13" s="31">
        <f>AP13+MIN(V12+AF13-AP13,MAX(0,ROUND(ROUND(Долги!$D$19-SUM($AL13:$AU13),2)-(SUM($H13:K13)-SUM($AL13:AO13)),2)))</f>
        <v>0.0</v>
      </c>
      <c r="M13" s="31">
        <f>AQ13+MIN(W12+AG13-AQ13,MAX(0,ROUND(ROUND(Долги!$D$19-SUM($AL13:$AU13),2)-(SUM($H13:L13)-SUM($AL13:AP13)),2)))</f>
        <v>0.0</v>
      </c>
      <c r="N13" s="31">
        <f>AR13+MIN(X12+AH13-AR13,MAX(0,ROUND(ROUND(Долги!$D$19-SUM($AL13:$AU13),2)-(SUM($H13:M13)-SUM($AL13:AQ13)),2)))</f>
        <v>0.0</v>
      </c>
      <c r="O13" s="31">
        <f>AS13+MIN(Y12+AI13-AS13,MAX(0,ROUND(ROUND(Долги!$D$19-SUM($AL13:$AU13),2)-(SUM($H13:N13)-SUM($AL13:AR13)),2)))</f>
        <v>0.0</v>
      </c>
      <c r="P13" s="31">
        <f>AT13+MIN(Z12+AJ13-AT13,MAX(0,ROUND(ROUND(Долги!$D$19-SUM($AL13:$AU13),2)-(SUM($H13:O13)-SUM($AL13:AS13)),2)))</f>
        <v>0.0</v>
      </c>
      <c r="Q13" s="31">
        <f>AU13+MIN(AA12+AK13-AU13,MAX(0,ROUND(ROUND(Долги!$D$19-SUM($AL13:$AU13),2)-(SUM($H13:P13)-SUM($AL13:AT13)),2)))</f>
        <v>0.0</v>
      </c>
      <c r="R13" s="31">
        <f>IF(R12+AB13-H13&lt;=0.01,0,ROUND(R12+AB13-H13,2))</f>
        <v>0.0</v>
      </c>
      <c r="S13" s="31">
        <f>IF(S12+AC13-I13&lt;=0.01,0,ROUND(S12+AC13-I13,2))</f>
        <v>91458.66</v>
      </c>
      <c r="T13" s="31">
        <f>IF(T12+AD13-J13&lt;=0.01,0,ROUND(T12+AD13-J13,2))</f>
        <v>212331.11</v>
      </c>
      <c r="U13" s="31">
        <f>IF(U12+AE13-K13&lt;=0.01,0,ROUND(U12+AE13-K13,2))</f>
        <v>0.0</v>
      </c>
      <c r="V13" s="31">
        <f>IF(V12+AF13-L13&lt;=0.01,0,ROUND(V12+AF13-L13,2))</f>
        <v>0.0</v>
      </c>
      <c r="W13" s="31">
        <f>IF(W12+AG13-M13&lt;=0.01,0,ROUND(W12+AG13-M13,2))</f>
        <v>0.0</v>
      </c>
      <c r="X13" s="31">
        <f>IF(X12+AH13-N13&lt;=0.01,0,ROUND(X12+AH13-N13,2))</f>
        <v>0.0</v>
      </c>
      <c r="Y13" s="31">
        <f>IF(Y12+AI13-O13&lt;=0.01,0,ROUND(Y12+AI13-O13,2))</f>
        <v>0.0</v>
      </c>
      <c r="Z13" s="31">
        <f>IF(Z12+AJ13-P13&lt;=0.01,0,ROUND(Z12+AJ13-P13,2))</f>
        <v>0.0</v>
      </c>
      <c r="AA13" s="31">
        <f>IF(AA12+AK13-Q13&lt;=0.01,0,ROUND(AA12+AK13-Q13,2))</f>
        <v>0.0</v>
      </c>
      <c r="AB13" s="31">
        <f>ROUND(R12*AB$5/1200,2)</f>
        <v>0.0</v>
      </c>
      <c r="AC13" s="31">
        <f>ROUND(S12*AC$5/1200,2)</f>
        <v>1713.88</v>
      </c>
      <c r="AD13" s="31">
        <f>ROUND(T12*AD$5/1200,2)</f>
        <v>7235.07</v>
      </c>
      <c r="AE13" s="31">
        <f>ROUND(U12*AE$5/1200,2)</f>
        <v>0.0</v>
      </c>
      <c r="AF13" s="31">
        <f>ROUND(V12*AF$5/1200,2)</f>
        <v>0.0</v>
      </c>
      <c r="AG13" s="31">
        <f>ROUND(W12*AG$5/1200,2)</f>
        <v>0.0</v>
      </c>
      <c r="AH13" s="31">
        <f>ROUND(X12*AH$5/1200,2)</f>
        <v>0.0</v>
      </c>
      <c r="AI13" s="31">
        <f>ROUND(Y12*AI$5/1200,2)</f>
        <v>0.0</v>
      </c>
      <c r="AJ13" s="31">
        <f>ROUND(Z12*AJ$5/1200,2)</f>
        <v>0.0</v>
      </c>
      <c r="AK13" s="31">
        <f>ROUND(AA12*AK$5/1200,2)</f>
        <v>0.0</v>
      </c>
      <c r="AL13" s="31">
        <f>MIN(AL$5,R12+AB13)</f>
        <v>0.0</v>
      </c>
      <c r="AM13" s="31">
        <f>MIN(AM$5,S12+AC13)</f>
        <v>6500.0</v>
      </c>
      <c r="AN13" s="31">
        <f>MIN(AN$5,T12+AD13)</f>
        <v>12500.0</v>
      </c>
      <c r="AO13" s="31">
        <f>MIN(AO$5,U12+AE13)</f>
        <v>0.0</v>
      </c>
      <c r="AP13" s="31">
        <f>MIN(AP$5,V12+AF13)</f>
        <v>0.0</v>
      </c>
      <c r="AQ13" s="31">
        <f>MIN(AQ$5,W12+AG13)</f>
        <v>0.0</v>
      </c>
      <c r="AR13" s="31">
        <f>MIN(AR$5,X12+AH13)</f>
        <v>0.0</v>
      </c>
      <c r="AS13" s="31">
        <f>MIN(AS$5,Y12+AI13)</f>
        <v>0.0</v>
      </c>
      <c r="AT13" s="31">
        <f>MIN(AT$5,Z12+AJ13)</f>
        <v>0.0</v>
      </c>
      <c r="AU13" s="31">
        <f>MIN(AU$5,AA12+AK13)</f>
        <v>0.0</v>
      </c>
    </row>
    <row r="14">
      <c r="A14" s="25">
        <f>IF(F13&gt;0.005,9,"")</f>
        <v>9</v>
      </c>
      <c r="B14" s="33">
        <f>IF(A14="","",EDATE(Долги!$D$5,8))</f>
        <v>46539</v>
      </c>
      <c r="C14" s="31">
        <f>SUM(H14:Q14)</f>
        <v>31000.0</v>
      </c>
      <c r="D14" s="31">
        <f>SUM(AB14:AK14)</f>
        <v>8508.11</v>
      </c>
      <c r="E14" s="31">
        <f>C14-D14</f>
        <v>22491.89</v>
      </c>
      <c r="F14" s="31">
        <f>SUM(R14:AA14)</f>
        <v>281297.88</v>
      </c>
      <c r="G14" s="34" t="str">
        <f>IF(OR(A14="",$F$5&lt;=0),"",REPT("█",ROUND(20*F14/$F$5,0)))</f>
        <v>████████████</v>
      </c>
      <c r="H14" s="31">
        <f>AL14+MIN(R13+AB14-AL14,MAX(0,ROUND(Долги!$D$19-SUM($AL14:$AU14),2)))</f>
        <v>0.0</v>
      </c>
      <c r="I14" s="31">
        <f>AM14+MIN(S13+AC14-AM14,MAX(0,ROUND(ROUND(Долги!$D$19-SUM($AL14:$AU14),2)-(SUM($H14:H14)-SUM($AL14:AL14)),2)))</f>
        <v>18500.0</v>
      </c>
      <c r="J14" s="31">
        <f>AN14+MIN(T13+AD14-AN14,MAX(0,ROUND(ROUND(Долги!$D$19-SUM($AL14:$AU14),2)-(SUM($H14:I14)-SUM($AL14:AM14)),2)))</f>
        <v>12500.0</v>
      </c>
      <c r="K14" s="31">
        <f>AO14+MIN(U13+AE14-AO14,MAX(0,ROUND(ROUND(Долги!$D$19-SUM($AL14:$AU14),2)-(SUM($H14:J14)-SUM($AL14:AN14)),2)))</f>
        <v>0.0</v>
      </c>
      <c r="L14" s="31">
        <f>AP14+MIN(V13+AF14-AP14,MAX(0,ROUND(ROUND(Долги!$D$19-SUM($AL14:$AU14),2)-(SUM($H14:K14)-SUM($AL14:AO14)),2)))</f>
        <v>0.0</v>
      </c>
      <c r="M14" s="31">
        <f>AQ14+MIN(W13+AG14-AQ14,MAX(0,ROUND(ROUND(Долги!$D$19-SUM($AL14:$AU14),2)-(SUM($H14:L14)-SUM($AL14:AP14)),2)))</f>
        <v>0.0</v>
      </c>
      <c r="N14" s="31">
        <f>AR14+MIN(X13+AH14-AR14,MAX(0,ROUND(ROUND(Долги!$D$19-SUM($AL14:$AU14),2)-(SUM($H14:M14)-SUM($AL14:AQ14)),2)))</f>
        <v>0.0</v>
      </c>
      <c r="O14" s="31">
        <f>AS14+MIN(Y13+AI14-AS14,MAX(0,ROUND(ROUND(Долги!$D$19-SUM($AL14:$AU14),2)-(SUM($H14:N14)-SUM($AL14:AR14)),2)))</f>
        <v>0.0</v>
      </c>
      <c r="P14" s="31">
        <f>AT14+MIN(Z13+AJ14-AT14,MAX(0,ROUND(ROUND(Долги!$D$19-SUM($AL14:$AU14),2)-(SUM($H14:O14)-SUM($AL14:AS14)),2)))</f>
        <v>0.0</v>
      </c>
      <c r="Q14" s="31">
        <f>AU14+MIN(AA13+AK14-AU14,MAX(0,ROUND(ROUND(Долги!$D$19-SUM($AL14:$AU14),2)-(SUM($H14:P14)-SUM($AL14:AT14)),2)))</f>
        <v>0.0</v>
      </c>
      <c r="R14" s="31">
        <f>IF(R13+AB14-H14&lt;=0.01,0,ROUND(R13+AB14-H14,2))</f>
        <v>0.0</v>
      </c>
      <c r="S14" s="31">
        <f>IF(S13+AC14-I14&lt;=0.01,0,ROUND(S13+AC14-I14,2))</f>
        <v>74406.76</v>
      </c>
      <c r="T14" s="31">
        <f>IF(T13+AD14-J14&lt;=0.01,0,ROUND(T13+AD14-J14,2))</f>
        <v>206891.12</v>
      </c>
      <c r="U14" s="31">
        <f>IF(U13+AE14-K14&lt;=0.01,0,ROUND(U13+AE14-K14,2))</f>
        <v>0.0</v>
      </c>
      <c r="V14" s="31">
        <f>IF(V13+AF14-L14&lt;=0.01,0,ROUND(V13+AF14-L14,2))</f>
        <v>0.0</v>
      </c>
      <c r="W14" s="31">
        <f>IF(W13+AG14-M14&lt;=0.01,0,ROUND(W13+AG14-M14,2))</f>
        <v>0.0</v>
      </c>
      <c r="X14" s="31">
        <f>IF(X13+AH14-N14&lt;=0.01,0,ROUND(X13+AH14-N14,2))</f>
        <v>0.0</v>
      </c>
      <c r="Y14" s="31">
        <f>IF(Y13+AI14-O14&lt;=0.01,0,ROUND(Y13+AI14-O14,2))</f>
        <v>0.0</v>
      </c>
      <c r="Z14" s="31">
        <f>IF(Z13+AJ14-P14&lt;=0.01,0,ROUND(Z13+AJ14-P14,2))</f>
        <v>0.0</v>
      </c>
      <c r="AA14" s="31">
        <f>IF(AA13+AK14-Q14&lt;=0.01,0,ROUND(AA13+AK14-Q14,2))</f>
        <v>0.0</v>
      </c>
      <c r="AB14" s="31">
        <f>ROUND(R13*AB$5/1200,2)</f>
        <v>0.0</v>
      </c>
      <c r="AC14" s="31">
        <f>ROUND(S13*AC$5/1200,2)</f>
        <v>1448.1</v>
      </c>
      <c r="AD14" s="31">
        <f>ROUND(T13*AD$5/1200,2)</f>
        <v>7060.01</v>
      </c>
      <c r="AE14" s="31">
        <f>ROUND(U13*AE$5/1200,2)</f>
        <v>0.0</v>
      </c>
      <c r="AF14" s="31">
        <f>ROUND(V13*AF$5/1200,2)</f>
        <v>0.0</v>
      </c>
      <c r="AG14" s="31">
        <f>ROUND(W13*AG$5/1200,2)</f>
        <v>0.0</v>
      </c>
      <c r="AH14" s="31">
        <f>ROUND(X13*AH$5/1200,2)</f>
        <v>0.0</v>
      </c>
      <c r="AI14" s="31">
        <f>ROUND(Y13*AI$5/1200,2)</f>
        <v>0.0</v>
      </c>
      <c r="AJ14" s="31">
        <f>ROUND(Z13*AJ$5/1200,2)</f>
        <v>0.0</v>
      </c>
      <c r="AK14" s="31">
        <f>ROUND(AA13*AK$5/1200,2)</f>
        <v>0.0</v>
      </c>
      <c r="AL14" s="31">
        <f>MIN(AL$5,R13+AB14)</f>
        <v>0.0</v>
      </c>
      <c r="AM14" s="31">
        <f>MIN(AM$5,S13+AC14)</f>
        <v>6500.0</v>
      </c>
      <c r="AN14" s="31">
        <f>MIN(AN$5,T13+AD14)</f>
        <v>12500.0</v>
      </c>
      <c r="AO14" s="31">
        <f>MIN(AO$5,U13+AE14)</f>
        <v>0.0</v>
      </c>
      <c r="AP14" s="31">
        <f>MIN(AP$5,V13+AF14)</f>
        <v>0.0</v>
      </c>
      <c r="AQ14" s="31">
        <f>MIN(AQ$5,W13+AG14)</f>
        <v>0.0</v>
      </c>
      <c r="AR14" s="31">
        <f>MIN(AR$5,X13+AH14)</f>
        <v>0.0</v>
      </c>
      <c r="AS14" s="31">
        <f>MIN(AS$5,Y13+AI14)</f>
        <v>0.0</v>
      </c>
      <c r="AT14" s="31">
        <f>MIN(AT$5,Z13+AJ14)</f>
        <v>0.0</v>
      </c>
      <c r="AU14" s="31">
        <f>MIN(AU$5,AA13+AK14)</f>
        <v>0.0</v>
      </c>
    </row>
    <row r="15">
      <c r="A15" s="25">
        <f>IF(F14&gt;0.005,10,"")</f>
        <v>10</v>
      </c>
      <c r="B15" s="33">
        <f>IF(A15="","",EDATE(Долги!$D$5,9))</f>
        <v>46569</v>
      </c>
      <c r="C15" s="31">
        <f>SUM(H15:Q15)</f>
        <v>31000.0</v>
      </c>
      <c r="D15" s="31">
        <f>SUM(AB15:AK15)</f>
        <v>8057.24</v>
      </c>
      <c r="E15" s="31">
        <f>C15-D15</f>
        <v>22942.76</v>
      </c>
      <c r="F15" s="31">
        <f>SUM(R15:AA15)</f>
        <v>258355.12</v>
      </c>
      <c r="G15" s="34" t="str">
        <f>IF(OR(A15="",$F$5&lt;=0),"",REPT("█",ROUND(20*F15/$F$5,0)))</f>
        <v>███████████</v>
      </c>
      <c r="H15" s="31">
        <f>AL15+MIN(R14+AB15-AL15,MAX(0,ROUND(Долги!$D$19-SUM($AL15:$AU15),2)))</f>
        <v>0.0</v>
      </c>
      <c r="I15" s="31">
        <f>AM15+MIN(S14+AC15-AM15,MAX(0,ROUND(ROUND(Долги!$D$19-SUM($AL15:$AU15),2)-(SUM($H15:H15)-SUM($AL15:AL15)),2)))</f>
        <v>18500.0</v>
      </c>
      <c r="J15" s="31">
        <f>AN15+MIN(T14+AD15-AN15,MAX(0,ROUND(ROUND(Долги!$D$19-SUM($AL15:$AU15),2)-(SUM($H15:I15)-SUM($AL15:AM15)),2)))</f>
        <v>12500.0</v>
      </c>
      <c r="K15" s="31">
        <f>AO15+MIN(U14+AE15-AO15,MAX(0,ROUND(ROUND(Долги!$D$19-SUM($AL15:$AU15),2)-(SUM($H15:J15)-SUM($AL15:AN15)),2)))</f>
        <v>0.0</v>
      </c>
      <c r="L15" s="31">
        <f>AP15+MIN(V14+AF15-AP15,MAX(0,ROUND(ROUND(Долги!$D$19-SUM($AL15:$AU15),2)-(SUM($H15:K15)-SUM($AL15:AO15)),2)))</f>
        <v>0.0</v>
      </c>
      <c r="M15" s="31">
        <f>AQ15+MIN(W14+AG15-AQ15,MAX(0,ROUND(ROUND(Долги!$D$19-SUM($AL15:$AU15),2)-(SUM($H15:L15)-SUM($AL15:AP15)),2)))</f>
        <v>0.0</v>
      </c>
      <c r="N15" s="31">
        <f>AR15+MIN(X14+AH15-AR15,MAX(0,ROUND(ROUND(Долги!$D$19-SUM($AL15:$AU15),2)-(SUM($H15:M15)-SUM($AL15:AQ15)),2)))</f>
        <v>0.0</v>
      </c>
      <c r="O15" s="31">
        <f>AS15+MIN(Y14+AI15-AS15,MAX(0,ROUND(ROUND(Долги!$D$19-SUM($AL15:$AU15),2)-(SUM($H15:N15)-SUM($AL15:AR15)),2)))</f>
        <v>0.0</v>
      </c>
      <c r="P15" s="31">
        <f>AT15+MIN(Z14+AJ15-AT15,MAX(0,ROUND(ROUND(Долги!$D$19-SUM($AL15:$AU15),2)-(SUM($H15:O15)-SUM($AL15:AS15)),2)))</f>
        <v>0.0</v>
      </c>
      <c r="Q15" s="31">
        <f>AU15+MIN(AA14+AK15-AU15,MAX(0,ROUND(ROUND(Долги!$D$19-SUM($AL15:$AU15),2)-(SUM($H15:P15)-SUM($AL15:AT15)),2)))</f>
        <v>0.0</v>
      </c>
      <c r="R15" s="31">
        <f>IF(R14+AB15-H15&lt;=0.01,0,ROUND(R14+AB15-H15,2))</f>
        <v>0.0</v>
      </c>
      <c r="S15" s="31">
        <f>IF(S14+AC15-I15&lt;=0.01,0,ROUND(S14+AC15-I15,2))</f>
        <v>57084.87</v>
      </c>
      <c r="T15" s="31">
        <f>IF(T14+AD15-J15&lt;=0.01,0,ROUND(T14+AD15-J15,2))</f>
        <v>201270.25</v>
      </c>
      <c r="U15" s="31">
        <f>IF(U14+AE15-K15&lt;=0.01,0,ROUND(U14+AE15-K15,2))</f>
        <v>0.0</v>
      </c>
      <c r="V15" s="31">
        <f>IF(V14+AF15-L15&lt;=0.01,0,ROUND(V14+AF15-L15,2))</f>
        <v>0.0</v>
      </c>
      <c r="W15" s="31">
        <f>IF(W14+AG15-M15&lt;=0.01,0,ROUND(W14+AG15-M15,2))</f>
        <v>0.0</v>
      </c>
      <c r="X15" s="31">
        <f>IF(X14+AH15-N15&lt;=0.01,0,ROUND(X14+AH15-N15,2))</f>
        <v>0.0</v>
      </c>
      <c r="Y15" s="31">
        <f>IF(Y14+AI15-O15&lt;=0.01,0,ROUND(Y14+AI15-O15,2))</f>
        <v>0.0</v>
      </c>
      <c r="Z15" s="31">
        <f>IF(Z14+AJ15-P15&lt;=0.01,0,ROUND(Z14+AJ15-P15,2))</f>
        <v>0.0</v>
      </c>
      <c r="AA15" s="31">
        <f>IF(AA14+AK15-Q15&lt;=0.01,0,ROUND(AA14+AK15-Q15,2))</f>
        <v>0.0</v>
      </c>
      <c r="AB15" s="31">
        <f>ROUND(R14*AB$5/1200,2)</f>
        <v>0.0</v>
      </c>
      <c r="AC15" s="31">
        <f>ROUND(S14*AC$5/1200,2)</f>
        <v>1178.11</v>
      </c>
      <c r="AD15" s="31">
        <f>ROUND(T14*AD$5/1200,2)</f>
        <v>6879.13</v>
      </c>
      <c r="AE15" s="31">
        <f>ROUND(U14*AE$5/1200,2)</f>
        <v>0.0</v>
      </c>
      <c r="AF15" s="31">
        <f>ROUND(V14*AF$5/1200,2)</f>
        <v>0.0</v>
      </c>
      <c r="AG15" s="31">
        <f>ROUND(W14*AG$5/1200,2)</f>
        <v>0.0</v>
      </c>
      <c r="AH15" s="31">
        <f>ROUND(X14*AH$5/1200,2)</f>
        <v>0.0</v>
      </c>
      <c r="AI15" s="31">
        <f>ROUND(Y14*AI$5/1200,2)</f>
        <v>0.0</v>
      </c>
      <c r="AJ15" s="31">
        <f>ROUND(Z14*AJ$5/1200,2)</f>
        <v>0.0</v>
      </c>
      <c r="AK15" s="31">
        <f>ROUND(AA14*AK$5/1200,2)</f>
        <v>0.0</v>
      </c>
      <c r="AL15" s="31">
        <f>MIN(AL$5,R14+AB15)</f>
        <v>0.0</v>
      </c>
      <c r="AM15" s="31">
        <f>MIN(AM$5,S14+AC15)</f>
        <v>6500.0</v>
      </c>
      <c r="AN15" s="31">
        <f>MIN(AN$5,T14+AD15)</f>
        <v>12500.0</v>
      </c>
      <c r="AO15" s="31">
        <f>MIN(AO$5,U14+AE15)</f>
        <v>0.0</v>
      </c>
      <c r="AP15" s="31">
        <f>MIN(AP$5,V14+AF15)</f>
        <v>0.0</v>
      </c>
      <c r="AQ15" s="31">
        <f>MIN(AQ$5,W14+AG15)</f>
        <v>0.0</v>
      </c>
      <c r="AR15" s="31">
        <f>MIN(AR$5,X14+AH15)</f>
        <v>0.0</v>
      </c>
      <c r="AS15" s="31">
        <f>MIN(AS$5,Y14+AI15)</f>
        <v>0.0</v>
      </c>
      <c r="AT15" s="31">
        <f>MIN(AT$5,Z14+AJ15)</f>
        <v>0.0</v>
      </c>
      <c r="AU15" s="31">
        <f>MIN(AU$5,AA14+AK15)</f>
        <v>0.0</v>
      </c>
    </row>
    <row r="16">
      <c r="A16" s="25">
        <f>IF(F15&gt;0.005,11,"")</f>
        <v>11</v>
      </c>
      <c r="B16" s="33">
        <f>IF(A16="","",EDATE(Долги!$D$5,10))</f>
        <v>46600</v>
      </c>
      <c r="C16" s="31">
        <f>SUM(H16:Q16)</f>
        <v>31000.0</v>
      </c>
      <c r="D16" s="31">
        <f>SUM(AB16:AK16)</f>
        <v>7596.08</v>
      </c>
      <c r="E16" s="31">
        <f>C16-D16</f>
        <v>23403.92</v>
      </c>
      <c r="F16" s="31">
        <f>SUM(R16:AA16)</f>
        <v>234951.2</v>
      </c>
      <c r="G16" s="34" t="str">
        <f>IF(OR(A16="",$F$5&lt;=0),"",REPT("█",ROUND(20*F16/$F$5,0)))</f>
        <v>██████████</v>
      </c>
      <c r="H16" s="31">
        <f>AL16+MIN(R15+AB16-AL16,MAX(0,ROUND(Долги!$D$19-SUM($AL16:$AU16),2)))</f>
        <v>0.0</v>
      </c>
      <c r="I16" s="31">
        <f>AM16+MIN(S15+AC16-AM16,MAX(0,ROUND(ROUND(Долги!$D$19-SUM($AL16:$AU16),2)-(SUM($H16:H16)-SUM($AL16:AL16)),2)))</f>
        <v>18500.0</v>
      </c>
      <c r="J16" s="31">
        <f>AN16+MIN(T15+AD16-AN16,MAX(0,ROUND(ROUND(Долги!$D$19-SUM($AL16:$AU16),2)-(SUM($H16:I16)-SUM($AL16:AM16)),2)))</f>
        <v>12500.0</v>
      </c>
      <c r="K16" s="31">
        <f>AO16+MIN(U15+AE16-AO16,MAX(0,ROUND(ROUND(Долги!$D$19-SUM($AL16:$AU16),2)-(SUM($H16:J16)-SUM($AL16:AN16)),2)))</f>
        <v>0.0</v>
      </c>
      <c r="L16" s="31">
        <f>AP16+MIN(V15+AF16-AP16,MAX(0,ROUND(ROUND(Долги!$D$19-SUM($AL16:$AU16),2)-(SUM($H16:K16)-SUM($AL16:AO16)),2)))</f>
        <v>0.0</v>
      </c>
      <c r="M16" s="31">
        <f>AQ16+MIN(W15+AG16-AQ16,MAX(0,ROUND(ROUND(Долги!$D$19-SUM($AL16:$AU16),2)-(SUM($H16:L16)-SUM($AL16:AP16)),2)))</f>
        <v>0.0</v>
      </c>
      <c r="N16" s="31">
        <f>AR16+MIN(X15+AH16-AR16,MAX(0,ROUND(ROUND(Долги!$D$19-SUM($AL16:$AU16),2)-(SUM($H16:M16)-SUM($AL16:AQ16)),2)))</f>
        <v>0.0</v>
      </c>
      <c r="O16" s="31">
        <f>AS16+MIN(Y15+AI16-AS16,MAX(0,ROUND(ROUND(Долги!$D$19-SUM($AL16:$AU16),2)-(SUM($H16:N16)-SUM($AL16:AR16)),2)))</f>
        <v>0.0</v>
      </c>
      <c r="P16" s="31">
        <f>AT16+MIN(Z15+AJ16-AT16,MAX(0,ROUND(ROUND(Долги!$D$19-SUM($AL16:$AU16),2)-(SUM($H16:O16)-SUM($AL16:AS16)),2)))</f>
        <v>0.0</v>
      </c>
      <c r="Q16" s="31">
        <f>AU16+MIN(AA15+AK16-AU16,MAX(0,ROUND(ROUND(Долги!$D$19-SUM($AL16:$AU16),2)-(SUM($H16:P16)-SUM($AL16:AT16)),2)))</f>
        <v>0.0</v>
      </c>
      <c r="R16" s="31">
        <f>IF(R15+AB16-H16&lt;=0.01,0,ROUND(R15+AB16-H16,2))</f>
        <v>0.0</v>
      </c>
      <c r="S16" s="31">
        <f>IF(S15+AC16-I16&lt;=0.01,0,ROUND(S15+AC16-I16,2))</f>
        <v>39488.71</v>
      </c>
      <c r="T16" s="31">
        <f>IF(T15+AD16-J16&lt;=0.01,0,ROUND(T15+AD16-J16,2))</f>
        <v>195462.49</v>
      </c>
      <c r="U16" s="31">
        <f>IF(U15+AE16-K16&lt;=0.01,0,ROUND(U15+AE16-K16,2))</f>
        <v>0.0</v>
      </c>
      <c r="V16" s="31">
        <f>IF(V15+AF16-L16&lt;=0.01,0,ROUND(V15+AF16-L16,2))</f>
        <v>0.0</v>
      </c>
      <c r="W16" s="31">
        <f>IF(W15+AG16-M16&lt;=0.01,0,ROUND(W15+AG16-M16,2))</f>
        <v>0.0</v>
      </c>
      <c r="X16" s="31">
        <f>IF(X15+AH16-N16&lt;=0.01,0,ROUND(X15+AH16-N16,2))</f>
        <v>0.0</v>
      </c>
      <c r="Y16" s="31">
        <f>IF(Y15+AI16-O16&lt;=0.01,0,ROUND(Y15+AI16-O16,2))</f>
        <v>0.0</v>
      </c>
      <c r="Z16" s="31">
        <f>IF(Z15+AJ16-P16&lt;=0.01,0,ROUND(Z15+AJ16-P16,2))</f>
        <v>0.0</v>
      </c>
      <c r="AA16" s="31">
        <f>IF(AA15+AK16-Q16&lt;=0.01,0,ROUND(AA15+AK16-Q16,2))</f>
        <v>0.0</v>
      </c>
      <c r="AB16" s="31">
        <f>ROUND(R15*AB$5/1200,2)</f>
        <v>0.0</v>
      </c>
      <c r="AC16" s="31">
        <f>ROUND(S15*AC$5/1200,2)</f>
        <v>903.84</v>
      </c>
      <c r="AD16" s="31">
        <f>ROUND(T15*AD$5/1200,2)</f>
        <v>6692.24</v>
      </c>
      <c r="AE16" s="31">
        <f>ROUND(U15*AE$5/1200,2)</f>
        <v>0.0</v>
      </c>
      <c r="AF16" s="31">
        <f>ROUND(V15*AF$5/1200,2)</f>
        <v>0.0</v>
      </c>
      <c r="AG16" s="31">
        <f>ROUND(W15*AG$5/1200,2)</f>
        <v>0.0</v>
      </c>
      <c r="AH16" s="31">
        <f>ROUND(X15*AH$5/1200,2)</f>
        <v>0.0</v>
      </c>
      <c r="AI16" s="31">
        <f>ROUND(Y15*AI$5/1200,2)</f>
        <v>0.0</v>
      </c>
      <c r="AJ16" s="31">
        <f>ROUND(Z15*AJ$5/1200,2)</f>
        <v>0.0</v>
      </c>
      <c r="AK16" s="31">
        <f>ROUND(AA15*AK$5/1200,2)</f>
        <v>0.0</v>
      </c>
      <c r="AL16" s="31">
        <f>MIN(AL$5,R15+AB16)</f>
        <v>0.0</v>
      </c>
      <c r="AM16" s="31">
        <f>MIN(AM$5,S15+AC16)</f>
        <v>6500.0</v>
      </c>
      <c r="AN16" s="31">
        <f>MIN(AN$5,T15+AD16)</f>
        <v>12500.0</v>
      </c>
      <c r="AO16" s="31">
        <f>MIN(AO$5,U15+AE16)</f>
        <v>0.0</v>
      </c>
      <c r="AP16" s="31">
        <f>MIN(AP$5,V15+AF16)</f>
        <v>0.0</v>
      </c>
      <c r="AQ16" s="31">
        <f>MIN(AQ$5,W15+AG16)</f>
        <v>0.0</v>
      </c>
      <c r="AR16" s="31">
        <f>MIN(AR$5,X15+AH16)</f>
        <v>0.0</v>
      </c>
      <c r="AS16" s="31">
        <f>MIN(AS$5,Y15+AI16)</f>
        <v>0.0</v>
      </c>
      <c r="AT16" s="31">
        <f>MIN(AT$5,Z15+AJ16)</f>
        <v>0.0</v>
      </c>
      <c r="AU16" s="31">
        <f>MIN(AU$5,AA15+AK16)</f>
        <v>0.0</v>
      </c>
    </row>
    <row r="17">
      <c r="A17" s="25">
        <f>IF(F16&gt;0.005,12,"")</f>
        <v>12</v>
      </c>
      <c r="B17" s="33">
        <f>IF(A17="","",EDATE(Долги!$D$5,11))</f>
        <v>46631</v>
      </c>
      <c r="C17" s="31">
        <f>SUM(H17:Q17)</f>
        <v>31000.0</v>
      </c>
      <c r="D17" s="31">
        <f>SUM(AB17:AK17)</f>
        <v>7124.37</v>
      </c>
      <c r="E17" s="31">
        <f>C17-D17</f>
        <v>23875.63</v>
      </c>
      <c r="F17" s="31">
        <f>SUM(R17:AA17)</f>
        <v>211075.57</v>
      </c>
      <c r="G17" s="34" t="str">
        <f>IF(OR(A17="",$F$5&lt;=0),"",REPT("█",ROUND(20*F17/$F$5,0)))</f>
        <v>█████████</v>
      </c>
      <c r="H17" s="31">
        <f>AL17+MIN(R16+AB17-AL17,MAX(0,ROUND(Долги!$D$19-SUM($AL17:$AU17),2)))</f>
        <v>0.0</v>
      </c>
      <c r="I17" s="31">
        <f>AM17+MIN(S16+AC17-AM17,MAX(0,ROUND(ROUND(Долги!$D$19-SUM($AL17:$AU17),2)-(SUM($H17:H17)-SUM($AL17:AL17)),2)))</f>
        <v>18500.0</v>
      </c>
      <c r="J17" s="31">
        <f>AN17+MIN(T16+AD17-AN17,MAX(0,ROUND(ROUND(Долги!$D$19-SUM($AL17:$AU17),2)-(SUM($H17:I17)-SUM($AL17:AM17)),2)))</f>
        <v>12500.0</v>
      </c>
      <c r="K17" s="31">
        <f>AO17+MIN(U16+AE17-AO17,MAX(0,ROUND(ROUND(Долги!$D$19-SUM($AL17:$AU17),2)-(SUM($H17:J17)-SUM($AL17:AN17)),2)))</f>
        <v>0.0</v>
      </c>
      <c r="L17" s="31">
        <f>AP17+MIN(V16+AF17-AP17,MAX(0,ROUND(ROUND(Долги!$D$19-SUM($AL17:$AU17),2)-(SUM($H17:K17)-SUM($AL17:AO17)),2)))</f>
        <v>0.0</v>
      </c>
      <c r="M17" s="31">
        <f>AQ17+MIN(W16+AG17-AQ17,MAX(0,ROUND(ROUND(Долги!$D$19-SUM($AL17:$AU17),2)-(SUM($H17:L17)-SUM($AL17:AP17)),2)))</f>
        <v>0.0</v>
      </c>
      <c r="N17" s="31">
        <f>AR17+MIN(X16+AH17-AR17,MAX(0,ROUND(ROUND(Долги!$D$19-SUM($AL17:$AU17),2)-(SUM($H17:M17)-SUM($AL17:AQ17)),2)))</f>
        <v>0.0</v>
      </c>
      <c r="O17" s="31">
        <f>AS17+MIN(Y16+AI17-AS17,MAX(0,ROUND(ROUND(Долги!$D$19-SUM($AL17:$AU17),2)-(SUM($H17:N17)-SUM($AL17:AR17)),2)))</f>
        <v>0.0</v>
      </c>
      <c r="P17" s="31">
        <f>AT17+MIN(Z16+AJ17-AT17,MAX(0,ROUND(ROUND(Долги!$D$19-SUM($AL17:$AU17),2)-(SUM($H17:O17)-SUM($AL17:AS17)),2)))</f>
        <v>0.0</v>
      </c>
      <c r="Q17" s="31">
        <f>AU17+MIN(AA16+AK17-AU17,MAX(0,ROUND(ROUND(Долги!$D$19-SUM($AL17:$AU17),2)-(SUM($H17:P17)-SUM($AL17:AT17)),2)))</f>
        <v>0.0</v>
      </c>
      <c r="R17" s="31">
        <f>IF(R16+AB17-H17&lt;=0.01,0,ROUND(R16+AB17-H17,2))</f>
        <v>0.0</v>
      </c>
      <c r="S17" s="31">
        <f>IF(S16+AC17-I17&lt;=0.01,0,ROUND(S16+AC17-I17,2))</f>
        <v>21613.95</v>
      </c>
      <c r="T17" s="31">
        <f>IF(T16+AD17-J17&lt;=0.01,0,ROUND(T16+AD17-J17,2))</f>
        <v>189461.62</v>
      </c>
      <c r="U17" s="31">
        <f>IF(U16+AE17-K17&lt;=0.01,0,ROUND(U16+AE17-K17,2))</f>
        <v>0.0</v>
      </c>
      <c r="V17" s="31">
        <f>IF(V16+AF17-L17&lt;=0.01,0,ROUND(V16+AF17-L17,2))</f>
        <v>0.0</v>
      </c>
      <c r="W17" s="31">
        <f>IF(W16+AG17-M17&lt;=0.01,0,ROUND(W16+AG17-M17,2))</f>
        <v>0.0</v>
      </c>
      <c r="X17" s="31">
        <f>IF(X16+AH17-N17&lt;=0.01,0,ROUND(X16+AH17-N17,2))</f>
        <v>0.0</v>
      </c>
      <c r="Y17" s="31">
        <f>IF(Y16+AI17-O17&lt;=0.01,0,ROUND(Y16+AI17-O17,2))</f>
        <v>0.0</v>
      </c>
      <c r="Z17" s="31">
        <f>IF(Z16+AJ17-P17&lt;=0.01,0,ROUND(Z16+AJ17-P17,2))</f>
        <v>0.0</v>
      </c>
      <c r="AA17" s="31">
        <f>IF(AA16+AK17-Q17&lt;=0.01,0,ROUND(AA16+AK17-Q17,2))</f>
        <v>0.0</v>
      </c>
      <c r="AB17" s="31">
        <f>ROUND(R16*AB$5/1200,2)</f>
        <v>0.0</v>
      </c>
      <c r="AC17" s="31">
        <f>ROUND(S16*AC$5/1200,2)</f>
        <v>625.24</v>
      </c>
      <c r="AD17" s="31">
        <f>ROUND(T16*AD$5/1200,2)</f>
        <v>6499.13</v>
      </c>
      <c r="AE17" s="31">
        <f>ROUND(U16*AE$5/1200,2)</f>
        <v>0.0</v>
      </c>
      <c r="AF17" s="31">
        <f>ROUND(V16*AF$5/1200,2)</f>
        <v>0.0</v>
      </c>
      <c r="AG17" s="31">
        <f>ROUND(W16*AG$5/1200,2)</f>
        <v>0.0</v>
      </c>
      <c r="AH17" s="31">
        <f>ROUND(X16*AH$5/1200,2)</f>
        <v>0.0</v>
      </c>
      <c r="AI17" s="31">
        <f>ROUND(Y16*AI$5/1200,2)</f>
        <v>0.0</v>
      </c>
      <c r="AJ17" s="31">
        <f>ROUND(Z16*AJ$5/1200,2)</f>
        <v>0.0</v>
      </c>
      <c r="AK17" s="31">
        <f>ROUND(AA16*AK$5/1200,2)</f>
        <v>0.0</v>
      </c>
      <c r="AL17" s="31">
        <f>MIN(AL$5,R16+AB17)</f>
        <v>0.0</v>
      </c>
      <c r="AM17" s="31">
        <f>MIN(AM$5,S16+AC17)</f>
        <v>6500.0</v>
      </c>
      <c r="AN17" s="31">
        <f>MIN(AN$5,T16+AD17)</f>
        <v>12500.0</v>
      </c>
      <c r="AO17" s="31">
        <f>MIN(AO$5,U16+AE17)</f>
        <v>0.0</v>
      </c>
      <c r="AP17" s="31">
        <f>MIN(AP$5,V16+AF17)</f>
        <v>0.0</v>
      </c>
      <c r="AQ17" s="31">
        <f>MIN(AQ$5,W16+AG17)</f>
        <v>0.0</v>
      </c>
      <c r="AR17" s="31">
        <f>MIN(AR$5,X16+AH17)</f>
        <v>0.0</v>
      </c>
      <c r="AS17" s="31">
        <f>MIN(AS$5,Y16+AI17)</f>
        <v>0.0</v>
      </c>
      <c r="AT17" s="31">
        <f>MIN(AT$5,Z16+AJ17)</f>
        <v>0.0</v>
      </c>
      <c r="AU17" s="31">
        <f>MIN(AU$5,AA16+AK17)</f>
        <v>0.0</v>
      </c>
    </row>
    <row r="18">
      <c r="A18" s="25">
        <f>IF(F17&gt;0.005,13,"")</f>
        <v>13</v>
      </c>
      <c r="B18" s="33">
        <f>IF(A18="","",EDATE(Долги!$D$5,12))</f>
        <v>46661</v>
      </c>
      <c r="C18" s="31">
        <f>SUM(H18:Q18)</f>
        <v>31000.0</v>
      </c>
      <c r="D18" s="31">
        <f>SUM(AB18:AK18)</f>
        <v>6641.82</v>
      </c>
      <c r="E18" s="31">
        <f>C18-D18</f>
        <v>24358.18</v>
      </c>
      <c r="F18" s="31">
        <f>SUM(R18:AA18)</f>
        <v>186717.39</v>
      </c>
      <c r="G18" s="34" t="str">
        <f>IF(OR(A18="",$F$5&lt;=0),"",REPT("█",ROUND(20*F18/$F$5,0)))</f>
        <v>████████</v>
      </c>
      <c r="H18" s="31">
        <f>AL18+MIN(R17+AB18-AL18,MAX(0,ROUND(Долги!$D$19-SUM($AL18:$AU18),2)))</f>
        <v>0.0</v>
      </c>
      <c r="I18" s="31">
        <f>AM18+MIN(S17+AC18-AM18,MAX(0,ROUND(ROUND(Долги!$D$19-SUM($AL18:$AU18),2)-(SUM($H18:H18)-SUM($AL18:AL18)),2)))</f>
        <v>18500.0</v>
      </c>
      <c r="J18" s="31">
        <f>AN18+MIN(T17+AD18-AN18,MAX(0,ROUND(ROUND(Долги!$D$19-SUM($AL18:$AU18),2)-(SUM($H18:I18)-SUM($AL18:AM18)),2)))</f>
        <v>12500.0</v>
      </c>
      <c r="K18" s="31">
        <f>AO18+MIN(U17+AE18-AO18,MAX(0,ROUND(ROUND(Долги!$D$19-SUM($AL18:$AU18),2)-(SUM($H18:J18)-SUM($AL18:AN18)),2)))</f>
        <v>0.0</v>
      </c>
      <c r="L18" s="31">
        <f>AP18+MIN(V17+AF18-AP18,MAX(0,ROUND(ROUND(Долги!$D$19-SUM($AL18:$AU18),2)-(SUM($H18:K18)-SUM($AL18:AO18)),2)))</f>
        <v>0.0</v>
      </c>
      <c r="M18" s="31">
        <f>AQ18+MIN(W17+AG18-AQ18,MAX(0,ROUND(ROUND(Долги!$D$19-SUM($AL18:$AU18),2)-(SUM($H18:L18)-SUM($AL18:AP18)),2)))</f>
        <v>0.0</v>
      </c>
      <c r="N18" s="31">
        <f>AR18+MIN(X17+AH18-AR18,MAX(0,ROUND(ROUND(Долги!$D$19-SUM($AL18:$AU18),2)-(SUM($H18:M18)-SUM($AL18:AQ18)),2)))</f>
        <v>0.0</v>
      </c>
      <c r="O18" s="31">
        <f>AS18+MIN(Y17+AI18-AS18,MAX(0,ROUND(ROUND(Долги!$D$19-SUM($AL18:$AU18),2)-(SUM($H18:N18)-SUM($AL18:AR18)),2)))</f>
        <v>0.0</v>
      </c>
      <c r="P18" s="31">
        <f>AT18+MIN(Z17+AJ18-AT18,MAX(0,ROUND(ROUND(Долги!$D$19-SUM($AL18:$AU18),2)-(SUM($H18:O18)-SUM($AL18:AS18)),2)))</f>
        <v>0.0</v>
      </c>
      <c r="Q18" s="31">
        <f>AU18+MIN(AA17+AK18-AU18,MAX(0,ROUND(ROUND(Долги!$D$19-SUM($AL18:$AU18),2)-(SUM($H18:P18)-SUM($AL18:AT18)),2)))</f>
        <v>0.0</v>
      </c>
      <c r="R18" s="31">
        <f>IF(R17+AB18-H18&lt;=0.01,0,ROUND(R17+AB18-H18,2))</f>
        <v>0.0</v>
      </c>
      <c r="S18" s="31">
        <f>IF(S17+AC18-I18&lt;=0.01,0,ROUND(S17+AC18-I18,2))</f>
        <v>3456.17</v>
      </c>
      <c r="T18" s="31">
        <f>IF(T17+AD18-J18&lt;=0.01,0,ROUND(T17+AD18-J18,2))</f>
        <v>183261.22</v>
      </c>
      <c r="U18" s="31">
        <f>IF(U17+AE18-K18&lt;=0.01,0,ROUND(U17+AE18-K18,2))</f>
        <v>0.0</v>
      </c>
      <c r="V18" s="31">
        <f>IF(V17+AF18-L18&lt;=0.01,0,ROUND(V17+AF18-L18,2))</f>
        <v>0.0</v>
      </c>
      <c r="W18" s="31">
        <f>IF(W17+AG18-M18&lt;=0.01,0,ROUND(W17+AG18-M18,2))</f>
        <v>0.0</v>
      </c>
      <c r="X18" s="31">
        <f>IF(X17+AH18-N18&lt;=0.01,0,ROUND(X17+AH18-N18,2))</f>
        <v>0.0</v>
      </c>
      <c r="Y18" s="31">
        <f>IF(Y17+AI18-O18&lt;=0.01,0,ROUND(Y17+AI18-O18,2))</f>
        <v>0.0</v>
      </c>
      <c r="Z18" s="31">
        <f>IF(Z17+AJ18-P18&lt;=0.01,0,ROUND(Z17+AJ18-P18,2))</f>
        <v>0.0</v>
      </c>
      <c r="AA18" s="31">
        <f>IF(AA17+AK18-Q18&lt;=0.01,0,ROUND(AA17+AK18-Q18,2))</f>
        <v>0.0</v>
      </c>
      <c r="AB18" s="31">
        <f>ROUND(R17*AB$5/1200,2)</f>
        <v>0.0</v>
      </c>
      <c r="AC18" s="31">
        <f>ROUND(S17*AC$5/1200,2)</f>
        <v>342.22</v>
      </c>
      <c r="AD18" s="31">
        <f>ROUND(T17*AD$5/1200,2)</f>
        <v>6299.6</v>
      </c>
      <c r="AE18" s="31">
        <f>ROUND(U17*AE$5/1200,2)</f>
        <v>0.0</v>
      </c>
      <c r="AF18" s="31">
        <f>ROUND(V17*AF$5/1200,2)</f>
        <v>0.0</v>
      </c>
      <c r="AG18" s="31">
        <f>ROUND(W17*AG$5/1200,2)</f>
        <v>0.0</v>
      </c>
      <c r="AH18" s="31">
        <f>ROUND(X17*AH$5/1200,2)</f>
        <v>0.0</v>
      </c>
      <c r="AI18" s="31">
        <f>ROUND(Y17*AI$5/1200,2)</f>
        <v>0.0</v>
      </c>
      <c r="AJ18" s="31">
        <f>ROUND(Z17*AJ$5/1200,2)</f>
        <v>0.0</v>
      </c>
      <c r="AK18" s="31">
        <f>ROUND(AA17*AK$5/1200,2)</f>
        <v>0.0</v>
      </c>
      <c r="AL18" s="31">
        <f>MIN(AL$5,R17+AB18)</f>
        <v>0.0</v>
      </c>
      <c r="AM18" s="31">
        <f>MIN(AM$5,S17+AC18)</f>
        <v>6500.0</v>
      </c>
      <c r="AN18" s="31">
        <f>MIN(AN$5,T17+AD18)</f>
        <v>12500.0</v>
      </c>
      <c r="AO18" s="31">
        <f>MIN(AO$5,U17+AE18)</f>
        <v>0.0</v>
      </c>
      <c r="AP18" s="31">
        <f>MIN(AP$5,V17+AF18)</f>
        <v>0.0</v>
      </c>
      <c r="AQ18" s="31">
        <f>MIN(AQ$5,W17+AG18)</f>
        <v>0.0</v>
      </c>
      <c r="AR18" s="31">
        <f>MIN(AR$5,X17+AH18)</f>
        <v>0.0</v>
      </c>
      <c r="AS18" s="31">
        <f>MIN(AS$5,Y17+AI18)</f>
        <v>0.0</v>
      </c>
      <c r="AT18" s="31">
        <f>MIN(AT$5,Z17+AJ18)</f>
        <v>0.0</v>
      </c>
      <c r="AU18" s="31">
        <f>MIN(AU$5,AA17+AK18)</f>
        <v>0.0</v>
      </c>
    </row>
    <row r="19">
      <c r="A19" s="25">
        <f>IF(F18&gt;0.005,14,"")</f>
        <v>14</v>
      </c>
      <c r="B19" s="33">
        <f>IF(A19="","",EDATE(Долги!$D$5,13))</f>
        <v>46692</v>
      </c>
      <c r="C19" s="31">
        <f>SUM(H19:Q19)</f>
        <v>31000.0</v>
      </c>
      <c r="D19" s="31">
        <f>SUM(AB19:AK19)</f>
        <v>6148.16</v>
      </c>
      <c r="E19" s="31">
        <f>C19-D19</f>
        <v>24851.84</v>
      </c>
      <c r="F19" s="31">
        <f>SUM(R19:AA19)</f>
        <v>161865.55</v>
      </c>
      <c r="G19" s="34" t="str">
        <f>IF(OR(A19="",$F$5&lt;=0),"",REPT("█",ROUND(20*F19/$F$5,0)))</f>
        <v>███████</v>
      </c>
      <c r="H19" s="31">
        <f>AL19+MIN(R18+AB19-AL19,MAX(0,ROUND(Долги!$D$19-SUM($AL19:$AU19),2)))</f>
        <v>0.0</v>
      </c>
      <c r="I19" s="31">
        <f>AM19+MIN(S18+AC19-AM19,MAX(0,ROUND(ROUND(Долги!$D$19-SUM($AL19:$AU19),2)-(SUM($H19:H19)-SUM($AL19:AL19)),2)))</f>
        <v>3510.89</v>
      </c>
      <c r="J19" s="31">
        <f>AN19+MIN(T18+AD19-AN19,MAX(0,ROUND(ROUND(Долги!$D$19-SUM($AL19:$AU19),2)-(SUM($H19:I19)-SUM($AL19:AM19)),2)))</f>
        <v>27489.11</v>
      </c>
      <c r="K19" s="31">
        <f>AO19+MIN(U18+AE19-AO19,MAX(0,ROUND(ROUND(Долги!$D$19-SUM($AL19:$AU19),2)-(SUM($H19:J19)-SUM($AL19:AN19)),2)))</f>
        <v>0.0</v>
      </c>
      <c r="L19" s="31">
        <f>AP19+MIN(V18+AF19-AP19,MAX(0,ROUND(ROUND(Долги!$D$19-SUM($AL19:$AU19),2)-(SUM($H19:K19)-SUM($AL19:AO19)),2)))</f>
        <v>0.0</v>
      </c>
      <c r="M19" s="31">
        <f>AQ19+MIN(W18+AG19-AQ19,MAX(0,ROUND(ROUND(Долги!$D$19-SUM($AL19:$AU19),2)-(SUM($H19:L19)-SUM($AL19:AP19)),2)))</f>
        <v>0.0</v>
      </c>
      <c r="N19" s="31">
        <f>AR19+MIN(X18+AH19-AR19,MAX(0,ROUND(ROUND(Долги!$D$19-SUM($AL19:$AU19),2)-(SUM($H19:M19)-SUM($AL19:AQ19)),2)))</f>
        <v>0.0</v>
      </c>
      <c r="O19" s="31">
        <f>AS19+MIN(Y18+AI19-AS19,MAX(0,ROUND(ROUND(Долги!$D$19-SUM($AL19:$AU19),2)-(SUM($H19:N19)-SUM($AL19:AR19)),2)))</f>
        <v>0.0</v>
      </c>
      <c r="P19" s="31">
        <f>AT19+MIN(Z18+AJ19-AT19,MAX(0,ROUND(ROUND(Долги!$D$19-SUM($AL19:$AU19),2)-(SUM($H19:O19)-SUM($AL19:AS19)),2)))</f>
        <v>0.0</v>
      </c>
      <c r="Q19" s="31">
        <f>AU19+MIN(AA18+AK19-AU19,MAX(0,ROUND(ROUND(Долги!$D$19-SUM($AL19:$AU19),2)-(SUM($H19:P19)-SUM($AL19:AT19)),2)))</f>
        <v>0.0</v>
      </c>
      <c r="R19" s="31">
        <f>IF(R18+AB19-H19&lt;=0.01,0,ROUND(R18+AB19-H19,2))</f>
        <v>0.0</v>
      </c>
      <c r="S19" s="31">
        <f>IF(S18+AC19-I19&lt;=0.01,0,ROUND(S18+AC19-I19,2))</f>
        <v>0.0</v>
      </c>
      <c r="T19" s="31">
        <f>IF(T18+AD19-J19&lt;=0.01,0,ROUND(T18+AD19-J19,2))</f>
        <v>161865.55</v>
      </c>
      <c r="U19" s="31">
        <f>IF(U18+AE19-K19&lt;=0.01,0,ROUND(U18+AE19-K19,2))</f>
        <v>0.0</v>
      </c>
      <c r="V19" s="31">
        <f>IF(V18+AF19-L19&lt;=0.01,0,ROUND(V18+AF19-L19,2))</f>
        <v>0.0</v>
      </c>
      <c r="W19" s="31">
        <f>IF(W18+AG19-M19&lt;=0.01,0,ROUND(W18+AG19-M19,2))</f>
        <v>0.0</v>
      </c>
      <c r="X19" s="31">
        <f>IF(X18+AH19-N19&lt;=0.01,0,ROUND(X18+AH19-N19,2))</f>
        <v>0.0</v>
      </c>
      <c r="Y19" s="31">
        <f>IF(Y18+AI19-O19&lt;=0.01,0,ROUND(Y18+AI19-O19,2))</f>
        <v>0.0</v>
      </c>
      <c r="Z19" s="31">
        <f>IF(Z18+AJ19-P19&lt;=0.01,0,ROUND(Z18+AJ19-P19,2))</f>
        <v>0.0</v>
      </c>
      <c r="AA19" s="31">
        <f>IF(AA18+AK19-Q19&lt;=0.01,0,ROUND(AA18+AK19-Q19,2))</f>
        <v>0.0</v>
      </c>
      <c r="AB19" s="31">
        <f>ROUND(R18*AB$5/1200,2)</f>
        <v>0.0</v>
      </c>
      <c r="AC19" s="31">
        <f>ROUND(S18*AC$5/1200,2)</f>
        <v>54.72</v>
      </c>
      <c r="AD19" s="31">
        <f>ROUND(T18*AD$5/1200,2)</f>
        <v>6093.44</v>
      </c>
      <c r="AE19" s="31">
        <f>ROUND(U18*AE$5/1200,2)</f>
        <v>0.0</v>
      </c>
      <c r="AF19" s="31">
        <f>ROUND(V18*AF$5/1200,2)</f>
        <v>0.0</v>
      </c>
      <c r="AG19" s="31">
        <f>ROUND(W18*AG$5/1200,2)</f>
        <v>0.0</v>
      </c>
      <c r="AH19" s="31">
        <f>ROUND(X18*AH$5/1200,2)</f>
        <v>0.0</v>
      </c>
      <c r="AI19" s="31">
        <f>ROUND(Y18*AI$5/1200,2)</f>
        <v>0.0</v>
      </c>
      <c r="AJ19" s="31">
        <f>ROUND(Z18*AJ$5/1200,2)</f>
        <v>0.0</v>
      </c>
      <c r="AK19" s="31">
        <f>ROUND(AA18*AK$5/1200,2)</f>
        <v>0.0</v>
      </c>
      <c r="AL19" s="31">
        <f>MIN(AL$5,R18+AB19)</f>
        <v>0.0</v>
      </c>
      <c r="AM19" s="31">
        <f>MIN(AM$5,S18+AC19)</f>
        <v>3510.89</v>
      </c>
      <c r="AN19" s="31">
        <f>MIN(AN$5,T18+AD19)</f>
        <v>12500.0</v>
      </c>
      <c r="AO19" s="31">
        <f>MIN(AO$5,U18+AE19)</f>
        <v>0.0</v>
      </c>
      <c r="AP19" s="31">
        <f>MIN(AP$5,V18+AF19)</f>
        <v>0.0</v>
      </c>
      <c r="AQ19" s="31">
        <f>MIN(AQ$5,W18+AG19)</f>
        <v>0.0</v>
      </c>
      <c r="AR19" s="31">
        <f>MIN(AR$5,X18+AH19)</f>
        <v>0.0</v>
      </c>
      <c r="AS19" s="31">
        <f>MIN(AS$5,Y18+AI19)</f>
        <v>0.0</v>
      </c>
      <c r="AT19" s="31">
        <f>MIN(AT$5,Z18+AJ19)</f>
        <v>0.0</v>
      </c>
      <c r="AU19" s="31">
        <f>MIN(AU$5,AA18+AK19)</f>
        <v>0.0</v>
      </c>
    </row>
    <row r="20">
      <c r="A20" s="25">
        <f>IF(F19&gt;0.005,15,"")</f>
        <v>15</v>
      </c>
      <c r="B20" s="33">
        <f>IF(A20="","",EDATE(Долги!$D$5,14))</f>
        <v>46722</v>
      </c>
      <c r="C20" s="31">
        <f>SUM(H20:Q20)</f>
        <v>31000.0</v>
      </c>
      <c r="D20" s="31">
        <f>SUM(AB20:AK20)</f>
        <v>5382.03</v>
      </c>
      <c r="E20" s="31">
        <f>C20-D20</f>
        <v>25617.97</v>
      </c>
      <c r="F20" s="31">
        <f>SUM(R20:AA20)</f>
        <v>136247.58</v>
      </c>
      <c r="G20" s="34" t="str">
        <f>IF(OR(A20="",$F$5&lt;=0),"",REPT("█",ROUND(20*F20/$F$5,0)))</f>
        <v>██████</v>
      </c>
      <c r="H20" s="31">
        <f>AL20+MIN(R19+AB20-AL20,MAX(0,ROUND(Долги!$D$19-SUM($AL20:$AU20),2)))</f>
        <v>0.0</v>
      </c>
      <c r="I20" s="31">
        <f>AM20+MIN(S19+AC20-AM20,MAX(0,ROUND(ROUND(Долги!$D$19-SUM($AL20:$AU20),2)-(SUM($H20:H20)-SUM($AL20:AL20)),2)))</f>
        <v>0.0</v>
      </c>
      <c r="J20" s="31">
        <f>AN20+MIN(T19+AD20-AN20,MAX(0,ROUND(ROUND(Долги!$D$19-SUM($AL20:$AU20),2)-(SUM($H20:I20)-SUM($AL20:AM20)),2)))</f>
        <v>31000.0</v>
      </c>
      <c r="K20" s="31">
        <f>AO20+MIN(U19+AE20-AO20,MAX(0,ROUND(ROUND(Долги!$D$19-SUM($AL20:$AU20),2)-(SUM($H20:J20)-SUM($AL20:AN20)),2)))</f>
        <v>0.0</v>
      </c>
      <c r="L20" s="31">
        <f>AP20+MIN(V19+AF20-AP20,MAX(0,ROUND(ROUND(Долги!$D$19-SUM($AL20:$AU20),2)-(SUM($H20:K20)-SUM($AL20:AO20)),2)))</f>
        <v>0.0</v>
      </c>
      <c r="M20" s="31">
        <f>AQ20+MIN(W19+AG20-AQ20,MAX(0,ROUND(ROUND(Долги!$D$19-SUM($AL20:$AU20),2)-(SUM($H20:L20)-SUM($AL20:AP20)),2)))</f>
        <v>0.0</v>
      </c>
      <c r="N20" s="31">
        <f>AR20+MIN(X19+AH20-AR20,MAX(0,ROUND(ROUND(Долги!$D$19-SUM($AL20:$AU20),2)-(SUM($H20:M20)-SUM($AL20:AQ20)),2)))</f>
        <v>0.0</v>
      </c>
      <c r="O20" s="31">
        <f>AS20+MIN(Y19+AI20-AS20,MAX(0,ROUND(ROUND(Долги!$D$19-SUM($AL20:$AU20),2)-(SUM($H20:N20)-SUM($AL20:AR20)),2)))</f>
        <v>0.0</v>
      </c>
      <c r="P20" s="31">
        <f>AT20+MIN(Z19+AJ20-AT20,MAX(0,ROUND(ROUND(Долги!$D$19-SUM($AL20:$AU20),2)-(SUM($H20:O20)-SUM($AL20:AS20)),2)))</f>
        <v>0.0</v>
      </c>
      <c r="Q20" s="31">
        <f>AU20+MIN(AA19+AK20-AU20,MAX(0,ROUND(ROUND(Долги!$D$19-SUM($AL20:$AU20),2)-(SUM($H20:P20)-SUM($AL20:AT20)),2)))</f>
        <v>0.0</v>
      </c>
      <c r="R20" s="31">
        <f>IF(R19+AB20-H20&lt;=0.01,0,ROUND(R19+AB20-H20,2))</f>
        <v>0.0</v>
      </c>
      <c r="S20" s="31">
        <f>IF(S19+AC20-I20&lt;=0.01,0,ROUND(S19+AC20-I20,2))</f>
        <v>0.0</v>
      </c>
      <c r="T20" s="31">
        <f>IF(T19+AD20-J20&lt;=0.01,0,ROUND(T19+AD20-J20,2))</f>
        <v>136247.58</v>
      </c>
      <c r="U20" s="31">
        <f>IF(U19+AE20-K20&lt;=0.01,0,ROUND(U19+AE20-K20,2))</f>
        <v>0.0</v>
      </c>
      <c r="V20" s="31">
        <f>IF(V19+AF20-L20&lt;=0.01,0,ROUND(V19+AF20-L20,2))</f>
        <v>0.0</v>
      </c>
      <c r="W20" s="31">
        <f>IF(W19+AG20-M20&lt;=0.01,0,ROUND(W19+AG20-M20,2))</f>
        <v>0.0</v>
      </c>
      <c r="X20" s="31">
        <f>IF(X19+AH20-N20&lt;=0.01,0,ROUND(X19+AH20-N20,2))</f>
        <v>0.0</v>
      </c>
      <c r="Y20" s="31">
        <f>IF(Y19+AI20-O20&lt;=0.01,0,ROUND(Y19+AI20-O20,2))</f>
        <v>0.0</v>
      </c>
      <c r="Z20" s="31">
        <f>IF(Z19+AJ20-P20&lt;=0.01,0,ROUND(Z19+AJ20-P20,2))</f>
        <v>0.0</v>
      </c>
      <c r="AA20" s="31">
        <f>IF(AA19+AK20-Q20&lt;=0.01,0,ROUND(AA19+AK20-Q20,2))</f>
        <v>0.0</v>
      </c>
      <c r="AB20" s="31">
        <f>ROUND(R19*AB$5/1200,2)</f>
        <v>0.0</v>
      </c>
      <c r="AC20" s="31">
        <f>ROUND(S19*AC$5/1200,2)</f>
        <v>0.0</v>
      </c>
      <c r="AD20" s="31">
        <f>ROUND(T19*AD$5/1200,2)</f>
        <v>5382.03</v>
      </c>
      <c r="AE20" s="31">
        <f>ROUND(U19*AE$5/1200,2)</f>
        <v>0.0</v>
      </c>
      <c r="AF20" s="31">
        <f>ROUND(V19*AF$5/1200,2)</f>
        <v>0.0</v>
      </c>
      <c r="AG20" s="31">
        <f>ROUND(W19*AG$5/1200,2)</f>
        <v>0.0</v>
      </c>
      <c r="AH20" s="31">
        <f>ROUND(X19*AH$5/1200,2)</f>
        <v>0.0</v>
      </c>
      <c r="AI20" s="31">
        <f>ROUND(Y19*AI$5/1200,2)</f>
        <v>0.0</v>
      </c>
      <c r="AJ20" s="31">
        <f>ROUND(Z19*AJ$5/1200,2)</f>
        <v>0.0</v>
      </c>
      <c r="AK20" s="31">
        <f>ROUND(AA19*AK$5/1200,2)</f>
        <v>0.0</v>
      </c>
      <c r="AL20" s="31">
        <f>MIN(AL$5,R19+AB20)</f>
        <v>0.0</v>
      </c>
      <c r="AM20" s="31">
        <f>MIN(AM$5,S19+AC20)</f>
        <v>0.0</v>
      </c>
      <c r="AN20" s="31">
        <f>MIN(AN$5,T19+AD20)</f>
        <v>12500.0</v>
      </c>
      <c r="AO20" s="31">
        <f>MIN(AO$5,U19+AE20)</f>
        <v>0.0</v>
      </c>
      <c r="AP20" s="31">
        <f>MIN(AP$5,V19+AF20)</f>
        <v>0.0</v>
      </c>
      <c r="AQ20" s="31">
        <f>MIN(AQ$5,W19+AG20)</f>
        <v>0.0</v>
      </c>
      <c r="AR20" s="31">
        <f>MIN(AR$5,X19+AH20)</f>
        <v>0.0</v>
      </c>
      <c r="AS20" s="31">
        <f>MIN(AS$5,Y19+AI20)</f>
        <v>0.0</v>
      </c>
      <c r="AT20" s="31">
        <f>MIN(AT$5,Z19+AJ20)</f>
        <v>0.0</v>
      </c>
      <c r="AU20" s="31">
        <f>MIN(AU$5,AA19+AK20)</f>
        <v>0.0</v>
      </c>
    </row>
    <row r="21">
      <c r="A21" s="25">
        <f>IF(F20&gt;0.005,16,"")</f>
        <v>16</v>
      </c>
      <c r="B21" s="33">
        <f>IF(A21="","",EDATE(Долги!$D$5,15))</f>
        <v>46753</v>
      </c>
      <c r="C21" s="31">
        <f>SUM(H21:Q21)</f>
        <v>31000.0</v>
      </c>
      <c r="D21" s="31">
        <f>SUM(AB21:AK21)</f>
        <v>4530.23</v>
      </c>
      <c r="E21" s="31">
        <f>C21-D21</f>
        <v>26469.77</v>
      </c>
      <c r="F21" s="31">
        <f>SUM(R21:AA21)</f>
        <v>109777.81</v>
      </c>
      <c r="G21" s="34" t="str">
        <f>IF(OR(A21="",$F$5&lt;=0),"",REPT("█",ROUND(20*F21/$F$5,0)))</f>
        <v>█████</v>
      </c>
      <c r="H21" s="31">
        <f>AL21+MIN(R20+AB21-AL21,MAX(0,ROUND(Долги!$D$19-SUM($AL21:$AU21),2)))</f>
        <v>0.0</v>
      </c>
      <c r="I21" s="31">
        <f>AM21+MIN(S20+AC21-AM21,MAX(0,ROUND(ROUND(Долги!$D$19-SUM($AL21:$AU21),2)-(SUM($H21:H21)-SUM($AL21:AL21)),2)))</f>
        <v>0.0</v>
      </c>
      <c r="J21" s="31">
        <f>AN21+MIN(T20+AD21-AN21,MAX(0,ROUND(ROUND(Долги!$D$19-SUM($AL21:$AU21),2)-(SUM($H21:I21)-SUM($AL21:AM21)),2)))</f>
        <v>31000.0</v>
      </c>
      <c r="K21" s="31">
        <f>AO21+MIN(U20+AE21-AO21,MAX(0,ROUND(ROUND(Долги!$D$19-SUM($AL21:$AU21),2)-(SUM($H21:J21)-SUM($AL21:AN21)),2)))</f>
        <v>0.0</v>
      </c>
      <c r="L21" s="31">
        <f>AP21+MIN(V20+AF21-AP21,MAX(0,ROUND(ROUND(Долги!$D$19-SUM($AL21:$AU21),2)-(SUM($H21:K21)-SUM($AL21:AO21)),2)))</f>
        <v>0.0</v>
      </c>
      <c r="M21" s="31">
        <f>AQ21+MIN(W20+AG21-AQ21,MAX(0,ROUND(ROUND(Долги!$D$19-SUM($AL21:$AU21),2)-(SUM($H21:L21)-SUM($AL21:AP21)),2)))</f>
        <v>0.0</v>
      </c>
      <c r="N21" s="31">
        <f>AR21+MIN(X20+AH21-AR21,MAX(0,ROUND(ROUND(Долги!$D$19-SUM($AL21:$AU21),2)-(SUM($H21:M21)-SUM($AL21:AQ21)),2)))</f>
        <v>0.0</v>
      </c>
      <c r="O21" s="31">
        <f>AS21+MIN(Y20+AI21-AS21,MAX(0,ROUND(ROUND(Долги!$D$19-SUM($AL21:$AU21),2)-(SUM($H21:N21)-SUM($AL21:AR21)),2)))</f>
        <v>0.0</v>
      </c>
      <c r="P21" s="31">
        <f>AT21+MIN(Z20+AJ21-AT21,MAX(0,ROUND(ROUND(Долги!$D$19-SUM($AL21:$AU21),2)-(SUM($H21:O21)-SUM($AL21:AS21)),2)))</f>
        <v>0.0</v>
      </c>
      <c r="Q21" s="31">
        <f>AU21+MIN(AA20+AK21-AU21,MAX(0,ROUND(ROUND(Долги!$D$19-SUM($AL21:$AU21),2)-(SUM($H21:P21)-SUM($AL21:AT21)),2)))</f>
        <v>0.0</v>
      </c>
      <c r="R21" s="31">
        <f>IF(R20+AB21-H21&lt;=0.01,0,ROUND(R20+AB21-H21,2))</f>
        <v>0.0</v>
      </c>
      <c r="S21" s="31">
        <f>IF(S20+AC21-I21&lt;=0.01,0,ROUND(S20+AC21-I21,2))</f>
        <v>0.0</v>
      </c>
      <c r="T21" s="31">
        <f>IF(T20+AD21-J21&lt;=0.01,0,ROUND(T20+AD21-J21,2))</f>
        <v>109777.81</v>
      </c>
      <c r="U21" s="31">
        <f>IF(U20+AE21-K21&lt;=0.01,0,ROUND(U20+AE21-K21,2))</f>
        <v>0.0</v>
      </c>
      <c r="V21" s="31">
        <f>IF(V20+AF21-L21&lt;=0.01,0,ROUND(V20+AF21-L21,2))</f>
        <v>0.0</v>
      </c>
      <c r="W21" s="31">
        <f>IF(W20+AG21-M21&lt;=0.01,0,ROUND(W20+AG21-M21,2))</f>
        <v>0.0</v>
      </c>
      <c r="X21" s="31">
        <f>IF(X20+AH21-N21&lt;=0.01,0,ROUND(X20+AH21-N21,2))</f>
        <v>0.0</v>
      </c>
      <c r="Y21" s="31">
        <f>IF(Y20+AI21-O21&lt;=0.01,0,ROUND(Y20+AI21-O21,2))</f>
        <v>0.0</v>
      </c>
      <c r="Z21" s="31">
        <f>IF(Z20+AJ21-P21&lt;=0.01,0,ROUND(Z20+AJ21-P21,2))</f>
        <v>0.0</v>
      </c>
      <c r="AA21" s="31">
        <f>IF(AA20+AK21-Q21&lt;=0.01,0,ROUND(AA20+AK21-Q21,2))</f>
        <v>0.0</v>
      </c>
      <c r="AB21" s="31">
        <f>ROUND(R20*AB$5/1200,2)</f>
        <v>0.0</v>
      </c>
      <c r="AC21" s="31">
        <f>ROUND(S20*AC$5/1200,2)</f>
        <v>0.0</v>
      </c>
      <c r="AD21" s="31">
        <f>ROUND(T20*AD$5/1200,2)</f>
        <v>4530.23</v>
      </c>
      <c r="AE21" s="31">
        <f>ROUND(U20*AE$5/1200,2)</f>
        <v>0.0</v>
      </c>
      <c r="AF21" s="31">
        <f>ROUND(V20*AF$5/1200,2)</f>
        <v>0.0</v>
      </c>
      <c r="AG21" s="31">
        <f>ROUND(W20*AG$5/1200,2)</f>
        <v>0.0</v>
      </c>
      <c r="AH21" s="31">
        <f>ROUND(X20*AH$5/1200,2)</f>
        <v>0.0</v>
      </c>
      <c r="AI21" s="31">
        <f>ROUND(Y20*AI$5/1200,2)</f>
        <v>0.0</v>
      </c>
      <c r="AJ21" s="31">
        <f>ROUND(Z20*AJ$5/1200,2)</f>
        <v>0.0</v>
      </c>
      <c r="AK21" s="31">
        <f>ROUND(AA20*AK$5/1200,2)</f>
        <v>0.0</v>
      </c>
      <c r="AL21" s="31">
        <f>MIN(AL$5,R20+AB21)</f>
        <v>0.0</v>
      </c>
      <c r="AM21" s="31">
        <f>MIN(AM$5,S20+AC21)</f>
        <v>0.0</v>
      </c>
      <c r="AN21" s="31">
        <f>MIN(AN$5,T20+AD21)</f>
        <v>12500.0</v>
      </c>
      <c r="AO21" s="31">
        <f>MIN(AO$5,U20+AE21)</f>
        <v>0.0</v>
      </c>
      <c r="AP21" s="31">
        <f>MIN(AP$5,V20+AF21)</f>
        <v>0.0</v>
      </c>
      <c r="AQ21" s="31">
        <f>MIN(AQ$5,W20+AG21)</f>
        <v>0.0</v>
      </c>
      <c r="AR21" s="31">
        <f>MIN(AR$5,X20+AH21)</f>
        <v>0.0</v>
      </c>
      <c r="AS21" s="31">
        <f>MIN(AS$5,Y20+AI21)</f>
        <v>0.0</v>
      </c>
      <c r="AT21" s="31">
        <f>MIN(AT$5,Z20+AJ21)</f>
        <v>0.0</v>
      </c>
      <c r="AU21" s="31">
        <f>MIN(AU$5,AA20+AK21)</f>
        <v>0.0</v>
      </c>
    </row>
    <row r="22">
      <c r="A22" s="25">
        <f>IF(F21&gt;0.005,17,"")</f>
        <v>17</v>
      </c>
      <c r="B22" s="33">
        <f>IF(A22="","",EDATE(Долги!$D$5,16))</f>
        <v>46784</v>
      </c>
      <c r="C22" s="31">
        <f>SUM(H22:Q22)</f>
        <v>31000.0</v>
      </c>
      <c r="D22" s="31">
        <f>SUM(AB22:AK22)</f>
        <v>3650.11</v>
      </c>
      <c r="E22" s="31">
        <f>C22-D22</f>
        <v>27349.89</v>
      </c>
      <c r="F22" s="31">
        <f>SUM(R22:AA22)</f>
        <v>82427.92</v>
      </c>
      <c r="G22" s="34" t="str">
        <f>IF(OR(A22="",$F$5&lt;=0),"",REPT("█",ROUND(20*F22/$F$5,0)))</f>
        <v>████</v>
      </c>
      <c r="H22" s="31">
        <f>AL22+MIN(R21+AB22-AL22,MAX(0,ROUND(Долги!$D$19-SUM($AL22:$AU22),2)))</f>
        <v>0.0</v>
      </c>
      <c r="I22" s="31">
        <f>AM22+MIN(S21+AC22-AM22,MAX(0,ROUND(ROUND(Долги!$D$19-SUM($AL22:$AU22),2)-(SUM($H22:H22)-SUM($AL22:AL22)),2)))</f>
        <v>0.0</v>
      </c>
      <c r="J22" s="31">
        <f>AN22+MIN(T21+AD22-AN22,MAX(0,ROUND(ROUND(Долги!$D$19-SUM($AL22:$AU22),2)-(SUM($H22:I22)-SUM($AL22:AM22)),2)))</f>
        <v>31000.0</v>
      </c>
      <c r="K22" s="31">
        <f>AO22+MIN(U21+AE22-AO22,MAX(0,ROUND(ROUND(Долги!$D$19-SUM($AL22:$AU22),2)-(SUM($H22:J22)-SUM($AL22:AN22)),2)))</f>
        <v>0.0</v>
      </c>
      <c r="L22" s="31">
        <f>AP22+MIN(V21+AF22-AP22,MAX(0,ROUND(ROUND(Долги!$D$19-SUM($AL22:$AU22),2)-(SUM($H22:K22)-SUM($AL22:AO22)),2)))</f>
        <v>0.0</v>
      </c>
      <c r="M22" s="31">
        <f>AQ22+MIN(W21+AG22-AQ22,MAX(0,ROUND(ROUND(Долги!$D$19-SUM($AL22:$AU22),2)-(SUM($H22:L22)-SUM($AL22:AP22)),2)))</f>
        <v>0.0</v>
      </c>
      <c r="N22" s="31">
        <f>AR22+MIN(X21+AH22-AR22,MAX(0,ROUND(ROUND(Долги!$D$19-SUM($AL22:$AU22),2)-(SUM($H22:M22)-SUM($AL22:AQ22)),2)))</f>
        <v>0.0</v>
      </c>
      <c r="O22" s="31">
        <f>AS22+MIN(Y21+AI22-AS22,MAX(0,ROUND(ROUND(Долги!$D$19-SUM($AL22:$AU22),2)-(SUM($H22:N22)-SUM($AL22:AR22)),2)))</f>
        <v>0.0</v>
      </c>
      <c r="P22" s="31">
        <f>AT22+MIN(Z21+AJ22-AT22,MAX(0,ROUND(ROUND(Долги!$D$19-SUM($AL22:$AU22),2)-(SUM($H22:O22)-SUM($AL22:AS22)),2)))</f>
        <v>0.0</v>
      </c>
      <c r="Q22" s="31">
        <f>AU22+MIN(AA21+AK22-AU22,MAX(0,ROUND(ROUND(Долги!$D$19-SUM($AL22:$AU22),2)-(SUM($H22:P22)-SUM($AL22:AT22)),2)))</f>
        <v>0.0</v>
      </c>
      <c r="R22" s="31">
        <f>IF(R21+AB22-H22&lt;=0.01,0,ROUND(R21+AB22-H22,2))</f>
        <v>0.0</v>
      </c>
      <c r="S22" s="31">
        <f>IF(S21+AC22-I22&lt;=0.01,0,ROUND(S21+AC22-I22,2))</f>
        <v>0.0</v>
      </c>
      <c r="T22" s="31">
        <f>IF(T21+AD22-J22&lt;=0.01,0,ROUND(T21+AD22-J22,2))</f>
        <v>82427.92</v>
      </c>
      <c r="U22" s="31">
        <f>IF(U21+AE22-K22&lt;=0.01,0,ROUND(U21+AE22-K22,2))</f>
        <v>0.0</v>
      </c>
      <c r="V22" s="31">
        <f>IF(V21+AF22-L22&lt;=0.01,0,ROUND(V21+AF22-L22,2))</f>
        <v>0.0</v>
      </c>
      <c r="W22" s="31">
        <f>IF(W21+AG22-M22&lt;=0.01,0,ROUND(W21+AG22-M22,2))</f>
        <v>0.0</v>
      </c>
      <c r="X22" s="31">
        <f>IF(X21+AH22-N22&lt;=0.01,0,ROUND(X21+AH22-N22,2))</f>
        <v>0.0</v>
      </c>
      <c r="Y22" s="31">
        <f>IF(Y21+AI22-O22&lt;=0.01,0,ROUND(Y21+AI22-O22,2))</f>
        <v>0.0</v>
      </c>
      <c r="Z22" s="31">
        <f>IF(Z21+AJ22-P22&lt;=0.01,0,ROUND(Z21+AJ22-P22,2))</f>
        <v>0.0</v>
      </c>
      <c r="AA22" s="31">
        <f>IF(AA21+AK22-Q22&lt;=0.01,0,ROUND(AA21+AK22-Q22,2))</f>
        <v>0.0</v>
      </c>
      <c r="AB22" s="31">
        <f>ROUND(R21*AB$5/1200,2)</f>
        <v>0.0</v>
      </c>
      <c r="AC22" s="31">
        <f>ROUND(S21*AC$5/1200,2)</f>
        <v>0.0</v>
      </c>
      <c r="AD22" s="31">
        <f>ROUND(T21*AD$5/1200,2)</f>
        <v>3650.11</v>
      </c>
      <c r="AE22" s="31">
        <f>ROUND(U21*AE$5/1200,2)</f>
        <v>0.0</v>
      </c>
      <c r="AF22" s="31">
        <f>ROUND(V21*AF$5/1200,2)</f>
        <v>0.0</v>
      </c>
      <c r="AG22" s="31">
        <f>ROUND(W21*AG$5/1200,2)</f>
        <v>0.0</v>
      </c>
      <c r="AH22" s="31">
        <f>ROUND(X21*AH$5/1200,2)</f>
        <v>0.0</v>
      </c>
      <c r="AI22" s="31">
        <f>ROUND(Y21*AI$5/1200,2)</f>
        <v>0.0</v>
      </c>
      <c r="AJ22" s="31">
        <f>ROUND(Z21*AJ$5/1200,2)</f>
        <v>0.0</v>
      </c>
      <c r="AK22" s="31">
        <f>ROUND(AA21*AK$5/1200,2)</f>
        <v>0.0</v>
      </c>
      <c r="AL22" s="31">
        <f>MIN(AL$5,R21+AB22)</f>
        <v>0.0</v>
      </c>
      <c r="AM22" s="31">
        <f>MIN(AM$5,S21+AC22)</f>
        <v>0.0</v>
      </c>
      <c r="AN22" s="31">
        <f>MIN(AN$5,T21+AD22)</f>
        <v>12500.0</v>
      </c>
      <c r="AO22" s="31">
        <f>MIN(AO$5,U21+AE22)</f>
        <v>0.0</v>
      </c>
      <c r="AP22" s="31">
        <f>MIN(AP$5,V21+AF22)</f>
        <v>0.0</v>
      </c>
      <c r="AQ22" s="31">
        <f>MIN(AQ$5,W21+AG22)</f>
        <v>0.0</v>
      </c>
      <c r="AR22" s="31">
        <f>MIN(AR$5,X21+AH22)</f>
        <v>0.0</v>
      </c>
      <c r="AS22" s="31">
        <f>MIN(AS$5,Y21+AI22)</f>
        <v>0.0</v>
      </c>
      <c r="AT22" s="31">
        <f>MIN(AT$5,Z21+AJ22)</f>
        <v>0.0</v>
      </c>
      <c r="AU22" s="31">
        <f>MIN(AU$5,AA21+AK22)</f>
        <v>0.0</v>
      </c>
    </row>
    <row r="23">
      <c r="A23" s="25">
        <f>IF(F22&gt;0.005,18,"")</f>
        <v>18</v>
      </c>
      <c r="B23" s="33">
        <f>IF(A23="","",EDATE(Долги!$D$5,17))</f>
        <v>46813</v>
      </c>
      <c r="C23" s="31">
        <f>SUM(H23:Q23)</f>
        <v>31000.0</v>
      </c>
      <c r="D23" s="31">
        <f>SUM(AB23:AK23)</f>
        <v>2740.73</v>
      </c>
      <c r="E23" s="31">
        <f>C23-D23</f>
        <v>28259.27</v>
      </c>
      <c r="F23" s="31">
        <f>SUM(R23:AA23)</f>
        <v>54168.65</v>
      </c>
      <c r="G23" s="34" t="str">
        <f>IF(OR(A23="",$F$5&lt;=0),"",REPT("█",ROUND(20*F23/$F$5,0)))</f>
        <v>██</v>
      </c>
      <c r="H23" s="31">
        <f>AL23+MIN(R22+AB23-AL23,MAX(0,ROUND(Долги!$D$19-SUM($AL23:$AU23),2)))</f>
        <v>0.0</v>
      </c>
      <c r="I23" s="31">
        <f>AM23+MIN(S22+AC23-AM23,MAX(0,ROUND(ROUND(Долги!$D$19-SUM($AL23:$AU23),2)-(SUM($H23:H23)-SUM($AL23:AL23)),2)))</f>
        <v>0.0</v>
      </c>
      <c r="J23" s="31">
        <f>AN23+MIN(T22+AD23-AN23,MAX(0,ROUND(ROUND(Долги!$D$19-SUM($AL23:$AU23),2)-(SUM($H23:I23)-SUM($AL23:AM23)),2)))</f>
        <v>31000.0</v>
      </c>
      <c r="K23" s="31">
        <f>AO23+MIN(U22+AE23-AO23,MAX(0,ROUND(ROUND(Долги!$D$19-SUM($AL23:$AU23),2)-(SUM($H23:J23)-SUM($AL23:AN23)),2)))</f>
        <v>0.0</v>
      </c>
      <c r="L23" s="31">
        <f>AP23+MIN(V22+AF23-AP23,MAX(0,ROUND(ROUND(Долги!$D$19-SUM($AL23:$AU23),2)-(SUM($H23:K23)-SUM($AL23:AO23)),2)))</f>
        <v>0.0</v>
      </c>
      <c r="M23" s="31">
        <f>AQ23+MIN(W22+AG23-AQ23,MAX(0,ROUND(ROUND(Долги!$D$19-SUM($AL23:$AU23),2)-(SUM($H23:L23)-SUM($AL23:AP23)),2)))</f>
        <v>0.0</v>
      </c>
      <c r="N23" s="31">
        <f>AR23+MIN(X22+AH23-AR23,MAX(0,ROUND(ROUND(Долги!$D$19-SUM($AL23:$AU23),2)-(SUM($H23:M23)-SUM($AL23:AQ23)),2)))</f>
        <v>0.0</v>
      </c>
      <c r="O23" s="31">
        <f>AS23+MIN(Y22+AI23-AS23,MAX(0,ROUND(ROUND(Долги!$D$19-SUM($AL23:$AU23),2)-(SUM($H23:N23)-SUM($AL23:AR23)),2)))</f>
        <v>0.0</v>
      </c>
      <c r="P23" s="31">
        <f>AT23+MIN(Z22+AJ23-AT23,MAX(0,ROUND(ROUND(Долги!$D$19-SUM($AL23:$AU23),2)-(SUM($H23:O23)-SUM($AL23:AS23)),2)))</f>
        <v>0.0</v>
      </c>
      <c r="Q23" s="31">
        <f>AU23+MIN(AA22+AK23-AU23,MAX(0,ROUND(ROUND(Долги!$D$19-SUM($AL23:$AU23),2)-(SUM($H23:P23)-SUM($AL23:AT23)),2)))</f>
        <v>0.0</v>
      </c>
      <c r="R23" s="31">
        <f>IF(R22+AB23-H23&lt;=0.01,0,ROUND(R22+AB23-H23,2))</f>
        <v>0.0</v>
      </c>
      <c r="S23" s="31">
        <f>IF(S22+AC23-I23&lt;=0.01,0,ROUND(S22+AC23-I23,2))</f>
        <v>0.0</v>
      </c>
      <c r="T23" s="31">
        <f>IF(T22+AD23-J23&lt;=0.01,0,ROUND(T22+AD23-J23,2))</f>
        <v>54168.65</v>
      </c>
      <c r="U23" s="31">
        <f>IF(U22+AE23-K23&lt;=0.01,0,ROUND(U22+AE23-K23,2))</f>
        <v>0.0</v>
      </c>
      <c r="V23" s="31">
        <f>IF(V22+AF23-L23&lt;=0.01,0,ROUND(V22+AF23-L23,2))</f>
        <v>0.0</v>
      </c>
      <c r="W23" s="31">
        <f>IF(W22+AG23-M23&lt;=0.01,0,ROUND(W22+AG23-M23,2))</f>
        <v>0.0</v>
      </c>
      <c r="X23" s="31">
        <f>IF(X22+AH23-N23&lt;=0.01,0,ROUND(X22+AH23-N23,2))</f>
        <v>0.0</v>
      </c>
      <c r="Y23" s="31">
        <f>IF(Y22+AI23-O23&lt;=0.01,0,ROUND(Y22+AI23-O23,2))</f>
        <v>0.0</v>
      </c>
      <c r="Z23" s="31">
        <f>IF(Z22+AJ23-P23&lt;=0.01,0,ROUND(Z22+AJ23-P23,2))</f>
        <v>0.0</v>
      </c>
      <c r="AA23" s="31">
        <f>IF(AA22+AK23-Q23&lt;=0.01,0,ROUND(AA22+AK23-Q23,2))</f>
        <v>0.0</v>
      </c>
      <c r="AB23" s="31">
        <f>ROUND(R22*AB$5/1200,2)</f>
        <v>0.0</v>
      </c>
      <c r="AC23" s="31">
        <f>ROUND(S22*AC$5/1200,2)</f>
        <v>0.0</v>
      </c>
      <c r="AD23" s="31">
        <f>ROUND(T22*AD$5/1200,2)</f>
        <v>2740.73</v>
      </c>
      <c r="AE23" s="31">
        <f>ROUND(U22*AE$5/1200,2)</f>
        <v>0.0</v>
      </c>
      <c r="AF23" s="31">
        <f>ROUND(V22*AF$5/1200,2)</f>
        <v>0.0</v>
      </c>
      <c r="AG23" s="31">
        <f>ROUND(W22*AG$5/1200,2)</f>
        <v>0.0</v>
      </c>
      <c r="AH23" s="31">
        <f>ROUND(X22*AH$5/1200,2)</f>
        <v>0.0</v>
      </c>
      <c r="AI23" s="31">
        <f>ROUND(Y22*AI$5/1200,2)</f>
        <v>0.0</v>
      </c>
      <c r="AJ23" s="31">
        <f>ROUND(Z22*AJ$5/1200,2)</f>
        <v>0.0</v>
      </c>
      <c r="AK23" s="31">
        <f>ROUND(AA22*AK$5/1200,2)</f>
        <v>0.0</v>
      </c>
      <c r="AL23" s="31">
        <f>MIN(AL$5,R22+AB23)</f>
        <v>0.0</v>
      </c>
      <c r="AM23" s="31">
        <f>MIN(AM$5,S22+AC23)</f>
        <v>0.0</v>
      </c>
      <c r="AN23" s="31">
        <f>MIN(AN$5,T22+AD23)</f>
        <v>12500.0</v>
      </c>
      <c r="AO23" s="31">
        <f>MIN(AO$5,U22+AE23)</f>
        <v>0.0</v>
      </c>
      <c r="AP23" s="31">
        <f>MIN(AP$5,V22+AF23)</f>
        <v>0.0</v>
      </c>
      <c r="AQ23" s="31">
        <f>MIN(AQ$5,W22+AG23)</f>
        <v>0.0</v>
      </c>
      <c r="AR23" s="31">
        <f>MIN(AR$5,X22+AH23)</f>
        <v>0.0</v>
      </c>
      <c r="AS23" s="31">
        <f>MIN(AS$5,Y22+AI23)</f>
        <v>0.0</v>
      </c>
      <c r="AT23" s="31">
        <f>MIN(AT$5,Z22+AJ23)</f>
        <v>0.0</v>
      </c>
      <c r="AU23" s="31">
        <f>MIN(AU$5,AA22+AK23)</f>
        <v>0.0</v>
      </c>
    </row>
    <row r="24">
      <c r="A24" s="25">
        <f>IF(F23&gt;0.005,19,"")</f>
        <v>19</v>
      </c>
      <c r="B24" s="33">
        <f>IF(A24="","",EDATE(Долги!$D$5,18))</f>
        <v>46844</v>
      </c>
      <c r="C24" s="31">
        <f>SUM(H24:Q24)</f>
        <v>31000.0</v>
      </c>
      <c r="D24" s="31">
        <f>SUM(AB24:AK24)</f>
        <v>1801.11</v>
      </c>
      <c r="E24" s="31">
        <f>C24-D24</f>
        <v>29198.89</v>
      </c>
      <c r="F24" s="31">
        <f>SUM(R24:AA24)</f>
        <v>24969.76</v>
      </c>
      <c r="G24" s="34" t="str">
        <f>IF(OR(A24="",$F$5&lt;=0),"",REPT("█",ROUND(20*F24/$F$5,0)))</f>
        <v>█</v>
      </c>
      <c r="H24" s="31">
        <f>AL24+MIN(R23+AB24-AL24,MAX(0,ROUND(Долги!$D$19-SUM($AL24:$AU24),2)))</f>
        <v>0.0</v>
      </c>
      <c r="I24" s="31">
        <f>AM24+MIN(S23+AC24-AM24,MAX(0,ROUND(ROUND(Долги!$D$19-SUM($AL24:$AU24),2)-(SUM($H24:H24)-SUM($AL24:AL24)),2)))</f>
        <v>0.0</v>
      </c>
      <c r="J24" s="31">
        <f>AN24+MIN(T23+AD24-AN24,MAX(0,ROUND(ROUND(Долги!$D$19-SUM($AL24:$AU24),2)-(SUM($H24:I24)-SUM($AL24:AM24)),2)))</f>
        <v>31000.0</v>
      </c>
      <c r="K24" s="31">
        <f>AO24+MIN(U23+AE24-AO24,MAX(0,ROUND(ROUND(Долги!$D$19-SUM($AL24:$AU24),2)-(SUM($H24:J24)-SUM($AL24:AN24)),2)))</f>
        <v>0.0</v>
      </c>
      <c r="L24" s="31">
        <f>AP24+MIN(V23+AF24-AP24,MAX(0,ROUND(ROUND(Долги!$D$19-SUM($AL24:$AU24),2)-(SUM($H24:K24)-SUM($AL24:AO24)),2)))</f>
        <v>0.0</v>
      </c>
      <c r="M24" s="31">
        <f>AQ24+MIN(W23+AG24-AQ24,MAX(0,ROUND(ROUND(Долги!$D$19-SUM($AL24:$AU24),2)-(SUM($H24:L24)-SUM($AL24:AP24)),2)))</f>
        <v>0.0</v>
      </c>
      <c r="N24" s="31">
        <f>AR24+MIN(X23+AH24-AR24,MAX(0,ROUND(ROUND(Долги!$D$19-SUM($AL24:$AU24),2)-(SUM($H24:M24)-SUM($AL24:AQ24)),2)))</f>
        <v>0.0</v>
      </c>
      <c r="O24" s="31">
        <f>AS24+MIN(Y23+AI24-AS24,MAX(0,ROUND(ROUND(Долги!$D$19-SUM($AL24:$AU24),2)-(SUM($H24:N24)-SUM($AL24:AR24)),2)))</f>
        <v>0.0</v>
      </c>
      <c r="P24" s="31">
        <f>AT24+MIN(Z23+AJ24-AT24,MAX(0,ROUND(ROUND(Долги!$D$19-SUM($AL24:$AU24),2)-(SUM($H24:O24)-SUM($AL24:AS24)),2)))</f>
        <v>0.0</v>
      </c>
      <c r="Q24" s="31">
        <f>AU24+MIN(AA23+AK24-AU24,MAX(0,ROUND(ROUND(Долги!$D$19-SUM($AL24:$AU24),2)-(SUM($H24:P24)-SUM($AL24:AT24)),2)))</f>
        <v>0.0</v>
      </c>
      <c r="R24" s="31">
        <f>IF(R23+AB24-H24&lt;=0.01,0,ROUND(R23+AB24-H24,2))</f>
        <v>0.0</v>
      </c>
      <c r="S24" s="31">
        <f>IF(S23+AC24-I24&lt;=0.01,0,ROUND(S23+AC24-I24,2))</f>
        <v>0.0</v>
      </c>
      <c r="T24" s="31">
        <f>IF(T23+AD24-J24&lt;=0.01,0,ROUND(T23+AD24-J24,2))</f>
        <v>24969.76</v>
      </c>
      <c r="U24" s="31">
        <f>IF(U23+AE24-K24&lt;=0.01,0,ROUND(U23+AE24-K24,2))</f>
        <v>0.0</v>
      </c>
      <c r="V24" s="31">
        <f>IF(V23+AF24-L24&lt;=0.01,0,ROUND(V23+AF24-L24,2))</f>
        <v>0.0</v>
      </c>
      <c r="W24" s="31">
        <f>IF(W23+AG24-M24&lt;=0.01,0,ROUND(W23+AG24-M24,2))</f>
        <v>0.0</v>
      </c>
      <c r="X24" s="31">
        <f>IF(X23+AH24-N24&lt;=0.01,0,ROUND(X23+AH24-N24,2))</f>
        <v>0.0</v>
      </c>
      <c r="Y24" s="31">
        <f>IF(Y23+AI24-O24&lt;=0.01,0,ROUND(Y23+AI24-O24,2))</f>
        <v>0.0</v>
      </c>
      <c r="Z24" s="31">
        <f>IF(Z23+AJ24-P24&lt;=0.01,0,ROUND(Z23+AJ24-P24,2))</f>
        <v>0.0</v>
      </c>
      <c r="AA24" s="31">
        <f>IF(AA23+AK24-Q24&lt;=0.01,0,ROUND(AA23+AK24-Q24,2))</f>
        <v>0.0</v>
      </c>
      <c r="AB24" s="31">
        <f>ROUND(R23*AB$5/1200,2)</f>
        <v>0.0</v>
      </c>
      <c r="AC24" s="31">
        <f>ROUND(S23*AC$5/1200,2)</f>
        <v>0.0</v>
      </c>
      <c r="AD24" s="31">
        <f>ROUND(T23*AD$5/1200,2)</f>
        <v>1801.11</v>
      </c>
      <c r="AE24" s="31">
        <f>ROUND(U23*AE$5/1200,2)</f>
        <v>0.0</v>
      </c>
      <c r="AF24" s="31">
        <f>ROUND(V23*AF$5/1200,2)</f>
        <v>0.0</v>
      </c>
      <c r="AG24" s="31">
        <f>ROUND(W23*AG$5/1200,2)</f>
        <v>0.0</v>
      </c>
      <c r="AH24" s="31">
        <f>ROUND(X23*AH$5/1200,2)</f>
        <v>0.0</v>
      </c>
      <c r="AI24" s="31">
        <f>ROUND(Y23*AI$5/1200,2)</f>
        <v>0.0</v>
      </c>
      <c r="AJ24" s="31">
        <f>ROUND(Z23*AJ$5/1200,2)</f>
        <v>0.0</v>
      </c>
      <c r="AK24" s="31">
        <f>ROUND(AA23*AK$5/1200,2)</f>
        <v>0.0</v>
      </c>
      <c r="AL24" s="31">
        <f>MIN(AL$5,R23+AB24)</f>
        <v>0.0</v>
      </c>
      <c r="AM24" s="31">
        <f>MIN(AM$5,S23+AC24)</f>
        <v>0.0</v>
      </c>
      <c r="AN24" s="31">
        <f>MIN(AN$5,T23+AD24)</f>
        <v>12500.0</v>
      </c>
      <c r="AO24" s="31">
        <f>MIN(AO$5,U23+AE24)</f>
        <v>0.0</v>
      </c>
      <c r="AP24" s="31">
        <f>MIN(AP$5,V23+AF24)</f>
        <v>0.0</v>
      </c>
      <c r="AQ24" s="31">
        <f>MIN(AQ$5,W23+AG24)</f>
        <v>0.0</v>
      </c>
      <c r="AR24" s="31">
        <f>MIN(AR$5,X23+AH24)</f>
        <v>0.0</v>
      </c>
      <c r="AS24" s="31">
        <f>MIN(AS$5,Y23+AI24)</f>
        <v>0.0</v>
      </c>
      <c r="AT24" s="31">
        <f>MIN(AT$5,Z23+AJ24)</f>
        <v>0.0</v>
      </c>
      <c r="AU24" s="31">
        <f>MIN(AU$5,AA23+AK24)</f>
        <v>0.0</v>
      </c>
    </row>
    <row r="25">
      <c r="A25" s="25">
        <f>IF(F24&gt;0.005,20,"")</f>
        <v>20</v>
      </c>
      <c r="B25" s="33">
        <f>IF(A25="","",EDATE(Долги!$D$5,19))</f>
        <v>46874</v>
      </c>
      <c r="C25" s="31">
        <f>SUM(H25:Q25)</f>
        <v>25800.0</v>
      </c>
      <c r="D25" s="31">
        <f>SUM(AB25:AK25)</f>
        <v>830.24</v>
      </c>
      <c r="E25" s="31">
        <f>C25-D25</f>
        <v>24969.76</v>
      </c>
      <c r="F25" s="31">
        <f>SUM(R25:AA25)</f>
        <v>0.0</v>
      </c>
      <c r="G25" s="34" t="str">
        <f>IF(OR(A25="",$F$5&lt;=0),"",REPT("█",ROUND(20*F25/$F$5,0)))</f>
        <v/>
      </c>
      <c r="H25" s="31">
        <f>AL25+MIN(R24+AB25-AL25,MAX(0,ROUND(Долги!$D$19-SUM($AL25:$AU25),2)))</f>
        <v>0.0</v>
      </c>
      <c r="I25" s="31">
        <f>AM25+MIN(S24+AC25-AM25,MAX(0,ROUND(ROUND(Долги!$D$19-SUM($AL25:$AU25),2)-(SUM($H25:H25)-SUM($AL25:AL25)),2)))</f>
        <v>0.0</v>
      </c>
      <c r="J25" s="31">
        <f>AN25+MIN(T24+AD25-AN25,MAX(0,ROUND(ROUND(Долги!$D$19-SUM($AL25:$AU25),2)-(SUM($H25:I25)-SUM($AL25:AM25)),2)))</f>
        <v>25800.0</v>
      </c>
      <c r="K25" s="31">
        <f>AO25+MIN(U24+AE25-AO25,MAX(0,ROUND(ROUND(Долги!$D$19-SUM($AL25:$AU25),2)-(SUM($H25:J25)-SUM($AL25:AN25)),2)))</f>
        <v>0.0</v>
      </c>
      <c r="L25" s="31">
        <f>AP25+MIN(V24+AF25-AP25,MAX(0,ROUND(ROUND(Долги!$D$19-SUM($AL25:$AU25),2)-(SUM($H25:K25)-SUM($AL25:AO25)),2)))</f>
        <v>0.0</v>
      </c>
      <c r="M25" s="31">
        <f>AQ25+MIN(W24+AG25-AQ25,MAX(0,ROUND(ROUND(Долги!$D$19-SUM($AL25:$AU25),2)-(SUM($H25:L25)-SUM($AL25:AP25)),2)))</f>
        <v>0.0</v>
      </c>
      <c r="N25" s="31">
        <f>AR25+MIN(X24+AH25-AR25,MAX(0,ROUND(ROUND(Долги!$D$19-SUM($AL25:$AU25),2)-(SUM($H25:M25)-SUM($AL25:AQ25)),2)))</f>
        <v>0.0</v>
      </c>
      <c r="O25" s="31">
        <f>AS25+MIN(Y24+AI25-AS25,MAX(0,ROUND(ROUND(Долги!$D$19-SUM($AL25:$AU25),2)-(SUM($H25:N25)-SUM($AL25:AR25)),2)))</f>
        <v>0.0</v>
      </c>
      <c r="P25" s="31">
        <f>AT25+MIN(Z24+AJ25-AT25,MAX(0,ROUND(ROUND(Долги!$D$19-SUM($AL25:$AU25),2)-(SUM($H25:O25)-SUM($AL25:AS25)),2)))</f>
        <v>0.0</v>
      </c>
      <c r="Q25" s="31">
        <f>AU25+MIN(AA24+AK25-AU25,MAX(0,ROUND(ROUND(Долги!$D$19-SUM($AL25:$AU25),2)-(SUM($H25:P25)-SUM($AL25:AT25)),2)))</f>
        <v>0.0</v>
      </c>
      <c r="R25" s="31">
        <f>IF(R24+AB25-H25&lt;=0.01,0,ROUND(R24+AB25-H25,2))</f>
        <v>0.0</v>
      </c>
      <c r="S25" s="31">
        <f>IF(S24+AC25-I25&lt;=0.01,0,ROUND(S24+AC25-I25,2))</f>
        <v>0.0</v>
      </c>
      <c r="T25" s="31">
        <f>IF(T24+AD25-J25&lt;=0.01,0,ROUND(T24+AD25-J25,2))</f>
        <v>0.0</v>
      </c>
      <c r="U25" s="31">
        <f>IF(U24+AE25-K25&lt;=0.01,0,ROUND(U24+AE25-K25,2))</f>
        <v>0.0</v>
      </c>
      <c r="V25" s="31">
        <f>IF(V24+AF25-L25&lt;=0.01,0,ROUND(V24+AF25-L25,2))</f>
        <v>0.0</v>
      </c>
      <c r="W25" s="31">
        <f>IF(W24+AG25-M25&lt;=0.01,0,ROUND(W24+AG25-M25,2))</f>
        <v>0.0</v>
      </c>
      <c r="X25" s="31">
        <f>IF(X24+AH25-N25&lt;=0.01,0,ROUND(X24+AH25-N25,2))</f>
        <v>0.0</v>
      </c>
      <c r="Y25" s="31">
        <f>IF(Y24+AI25-O25&lt;=0.01,0,ROUND(Y24+AI25-O25,2))</f>
        <v>0.0</v>
      </c>
      <c r="Z25" s="31">
        <f>IF(Z24+AJ25-P25&lt;=0.01,0,ROUND(Z24+AJ25-P25,2))</f>
        <v>0.0</v>
      </c>
      <c r="AA25" s="31">
        <f>IF(AA24+AK25-Q25&lt;=0.01,0,ROUND(AA24+AK25-Q25,2))</f>
        <v>0.0</v>
      </c>
      <c r="AB25" s="31">
        <f>ROUND(R24*AB$5/1200,2)</f>
        <v>0.0</v>
      </c>
      <c r="AC25" s="31">
        <f>ROUND(S24*AC$5/1200,2)</f>
        <v>0.0</v>
      </c>
      <c r="AD25" s="31">
        <f>ROUND(T24*AD$5/1200,2)</f>
        <v>830.24</v>
      </c>
      <c r="AE25" s="31">
        <f>ROUND(U24*AE$5/1200,2)</f>
        <v>0.0</v>
      </c>
      <c r="AF25" s="31">
        <f>ROUND(V24*AF$5/1200,2)</f>
        <v>0.0</v>
      </c>
      <c r="AG25" s="31">
        <f>ROUND(W24*AG$5/1200,2)</f>
        <v>0.0</v>
      </c>
      <c r="AH25" s="31">
        <f>ROUND(X24*AH$5/1200,2)</f>
        <v>0.0</v>
      </c>
      <c r="AI25" s="31">
        <f>ROUND(Y24*AI$5/1200,2)</f>
        <v>0.0</v>
      </c>
      <c r="AJ25" s="31">
        <f>ROUND(Z24*AJ$5/1200,2)</f>
        <v>0.0</v>
      </c>
      <c r="AK25" s="31">
        <f>ROUND(AA24*AK$5/1200,2)</f>
        <v>0.0</v>
      </c>
      <c r="AL25" s="31">
        <f>MIN(AL$5,R24+AB25)</f>
        <v>0.0</v>
      </c>
      <c r="AM25" s="31">
        <f>MIN(AM$5,S24+AC25)</f>
        <v>0.0</v>
      </c>
      <c r="AN25" s="31">
        <f>MIN(AN$5,T24+AD25)</f>
        <v>12500.0</v>
      </c>
      <c r="AO25" s="31">
        <f>MIN(AO$5,U24+AE25)</f>
        <v>0.0</v>
      </c>
      <c r="AP25" s="31">
        <f>MIN(AP$5,V24+AF25)</f>
        <v>0.0</v>
      </c>
      <c r="AQ25" s="31">
        <f>MIN(AQ$5,W24+AG25)</f>
        <v>0.0</v>
      </c>
      <c r="AR25" s="31">
        <f>MIN(AR$5,X24+AH25)</f>
        <v>0.0</v>
      </c>
      <c r="AS25" s="31">
        <f>MIN(AS$5,Y24+AI25)</f>
        <v>0.0</v>
      </c>
      <c r="AT25" s="31">
        <f>MIN(AT$5,Z24+AJ25)</f>
        <v>0.0</v>
      </c>
      <c r="AU25" s="31">
        <f>MIN(AU$5,AA24+AK25)</f>
        <v>0.0</v>
      </c>
    </row>
    <row r="26">
      <c r="A26" s="25" t="str">
        <f>IF(F25&gt;0.005,21,"")</f>
        <v/>
      </c>
      <c r="B26" s="33" t="str">
        <f>IF(A26="","",EDATE(Долги!$D$5,20))</f>
        <v/>
      </c>
      <c r="C26" s="31">
        <f>SUM(H26:Q26)</f>
        <v>0.0</v>
      </c>
      <c r="D26" s="31">
        <f>SUM(AB26:AK26)</f>
        <v>0.0</v>
      </c>
      <c r="E26" s="31">
        <f>C26-D26</f>
        <v>0.0</v>
      </c>
      <c r="F26" s="31">
        <f>SUM(R26:AA26)</f>
        <v>0.0</v>
      </c>
      <c r="G26" s="34" t="str">
        <f>IF(OR(A26="",$F$5&lt;=0),"",REPT("█",ROUND(20*F26/$F$5,0)))</f>
        <v/>
      </c>
      <c r="H26" s="31">
        <f>AL26+MIN(R25+AB26-AL26,MAX(0,ROUND(Долги!$D$19-SUM($AL26:$AU26),2)))</f>
        <v>0.0</v>
      </c>
      <c r="I26" s="31">
        <f>AM26+MIN(S25+AC26-AM26,MAX(0,ROUND(ROUND(Долги!$D$19-SUM($AL26:$AU26),2)-(SUM($H26:H26)-SUM($AL26:AL26)),2)))</f>
        <v>0.0</v>
      </c>
      <c r="J26" s="31">
        <f>AN26+MIN(T25+AD26-AN26,MAX(0,ROUND(ROUND(Долги!$D$19-SUM($AL26:$AU26),2)-(SUM($H26:I26)-SUM($AL26:AM26)),2)))</f>
        <v>0.0</v>
      </c>
      <c r="K26" s="31">
        <f>AO26+MIN(U25+AE26-AO26,MAX(0,ROUND(ROUND(Долги!$D$19-SUM($AL26:$AU26),2)-(SUM($H26:J26)-SUM($AL26:AN26)),2)))</f>
        <v>0.0</v>
      </c>
      <c r="L26" s="31">
        <f>AP26+MIN(V25+AF26-AP26,MAX(0,ROUND(ROUND(Долги!$D$19-SUM($AL26:$AU26),2)-(SUM($H26:K26)-SUM($AL26:AO26)),2)))</f>
        <v>0.0</v>
      </c>
      <c r="M26" s="31">
        <f>AQ26+MIN(W25+AG26-AQ26,MAX(0,ROUND(ROUND(Долги!$D$19-SUM($AL26:$AU26),2)-(SUM($H26:L26)-SUM($AL26:AP26)),2)))</f>
        <v>0.0</v>
      </c>
      <c r="N26" s="31">
        <f>AR26+MIN(X25+AH26-AR26,MAX(0,ROUND(ROUND(Долги!$D$19-SUM($AL26:$AU26),2)-(SUM($H26:M26)-SUM($AL26:AQ26)),2)))</f>
        <v>0.0</v>
      </c>
      <c r="O26" s="31">
        <f>AS26+MIN(Y25+AI26-AS26,MAX(0,ROUND(ROUND(Долги!$D$19-SUM($AL26:$AU26),2)-(SUM($H26:N26)-SUM($AL26:AR26)),2)))</f>
        <v>0.0</v>
      </c>
      <c r="P26" s="31">
        <f>AT26+MIN(Z25+AJ26-AT26,MAX(0,ROUND(ROUND(Долги!$D$19-SUM($AL26:$AU26),2)-(SUM($H26:O26)-SUM($AL26:AS26)),2)))</f>
        <v>0.0</v>
      </c>
      <c r="Q26" s="31">
        <f>AU26+MIN(AA25+AK26-AU26,MAX(0,ROUND(ROUND(Долги!$D$19-SUM($AL26:$AU26),2)-(SUM($H26:P26)-SUM($AL26:AT26)),2)))</f>
        <v>0.0</v>
      </c>
      <c r="R26" s="31">
        <f>IF(R25+AB26-H26&lt;=0.01,0,ROUND(R25+AB26-H26,2))</f>
        <v>0.0</v>
      </c>
      <c r="S26" s="31">
        <f>IF(S25+AC26-I26&lt;=0.01,0,ROUND(S25+AC26-I26,2))</f>
        <v>0.0</v>
      </c>
      <c r="T26" s="31">
        <f>IF(T25+AD26-J26&lt;=0.01,0,ROUND(T25+AD26-J26,2))</f>
        <v>0.0</v>
      </c>
      <c r="U26" s="31">
        <f>IF(U25+AE26-K26&lt;=0.01,0,ROUND(U25+AE26-K26,2))</f>
        <v>0.0</v>
      </c>
      <c r="V26" s="31">
        <f>IF(V25+AF26-L26&lt;=0.01,0,ROUND(V25+AF26-L26,2))</f>
        <v>0.0</v>
      </c>
      <c r="W26" s="31">
        <f>IF(W25+AG26-M26&lt;=0.01,0,ROUND(W25+AG26-M26,2))</f>
        <v>0.0</v>
      </c>
      <c r="X26" s="31">
        <f>IF(X25+AH26-N26&lt;=0.01,0,ROUND(X25+AH26-N26,2))</f>
        <v>0.0</v>
      </c>
      <c r="Y26" s="31">
        <f>IF(Y25+AI26-O26&lt;=0.01,0,ROUND(Y25+AI26-O26,2))</f>
        <v>0.0</v>
      </c>
      <c r="Z26" s="31">
        <f>IF(Z25+AJ26-P26&lt;=0.01,0,ROUND(Z25+AJ26-P26,2))</f>
        <v>0.0</v>
      </c>
      <c r="AA26" s="31">
        <f>IF(AA25+AK26-Q26&lt;=0.01,0,ROUND(AA25+AK26-Q26,2))</f>
        <v>0.0</v>
      </c>
      <c r="AB26" s="31">
        <f>ROUND(R25*AB$5/1200,2)</f>
        <v>0.0</v>
      </c>
      <c r="AC26" s="31">
        <f>ROUND(S25*AC$5/1200,2)</f>
        <v>0.0</v>
      </c>
      <c r="AD26" s="31">
        <f>ROUND(T25*AD$5/1200,2)</f>
        <v>0.0</v>
      </c>
      <c r="AE26" s="31">
        <f>ROUND(U25*AE$5/1200,2)</f>
        <v>0.0</v>
      </c>
      <c r="AF26" s="31">
        <f>ROUND(V25*AF$5/1200,2)</f>
        <v>0.0</v>
      </c>
      <c r="AG26" s="31">
        <f>ROUND(W25*AG$5/1200,2)</f>
        <v>0.0</v>
      </c>
      <c r="AH26" s="31">
        <f>ROUND(X25*AH$5/1200,2)</f>
        <v>0.0</v>
      </c>
      <c r="AI26" s="31">
        <f>ROUND(Y25*AI$5/1200,2)</f>
        <v>0.0</v>
      </c>
      <c r="AJ26" s="31">
        <f>ROUND(Z25*AJ$5/1200,2)</f>
        <v>0.0</v>
      </c>
      <c r="AK26" s="31">
        <f>ROUND(AA25*AK$5/1200,2)</f>
        <v>0.0</v>
      </c>
      <c r="AL26" s="31">
        <f>MIN(AL$5,R25+AB26)</f>
        <v>0.0</v>
      </c>
      <c r="AM26" s="31">
        <f>MIN(AM$5,S25+AC26)</f>
        <v>0.0</v>
      </c>
      <c r="AN26" s="31">
        <f>MIN(AN$5,T25+AD26)</f>
        <v>0.0</v>
      </c>
      <c r="AO26" s="31">
        <f>MIN(AO$5,U25+AE26)</f>
        <v>0.0</v>
      </c>
      <c r="AP26" s="31">
        <f>MIN(AP$5,V25+AF26)</f>
        <v>0.0</v>
      </c>
      <c r="AQ26" s="31">
        <f>MIN(AQ$5,W25+AG26)</f>
        <v>0.0</v>
      </c>
      <c r="AR26" s="31">
        <f>MIN(AR$5,X25+AH26)</f>
        <v>0.0</v>
      </c>
      <c r="AS26" s="31">
        <f>MIN(AS$5,Y25+AI26)</f>
        <v>0.0</v>
      </c>
      <c r="AT26" s="31">
        <f>MIN(AT$5,Z25+AJ26)</f>
        <v>0.0</v>
      </c>
      <c r="AU26" s="31">
        <f>MIN(AU$5,AA25+AK26)</f>
        <v>0.0</v>
      </c>
    </row>
    <row r="27">
      <c r="A27" s="25" t="str">
        <f>IF(F26&gt;0.005,22,"")</f>
        <v/>
      </c>
      <c r="B27" s="33" t="str">
        <f>IF(A27="","",EDATE(Долги!$D$5,21))</f>
        <v/>
      </c>
      <c r="C27" s="31">
        <f>SUM(H27:Q27)</f>
        <v>0.0</v>
      </c>
      <c r="D27" s="31">
        <f>SUM(AB27:AK27)</f>
        <v>0.0</v>
      </c>
      <c r="E27" s="31">
        <f>C27-D27</f>
        <v>0.0</v>
      </c>
      <c r="F27" s="31">
        <f>SUM(R27:AA27)</f>
        <v>0.0</v>
      </c>
      <c r="G27" s="34" t="str">
        <f>IF(OR(A27="",$F$5&lt;=0),"",REPT("█",ROUND(20*F27/$F$5,0)))</f>
        <v/>
      </c>
      <c r="H27" s="31">
        <f>AL27+MIN(R26+AB27-AL27,MAX(0,ROUND(Долги!$D$19-SUM($AL27:$AU27),2)))</f>
        <v>0.0</v>
      </c>
      <c r="I27" s="31">
        <f>AM27+MIN(S26+AC27-AM27,MAX(0,ROUND(ROUND(Долги!$D$19-SUM($AL27:$AU27),2)-(SUM($H27:H27)-SUM($AL27:AL27)),2)))</f>
        <v>0.0</v>
      </c>
      <c r="J27" s="31">
        <f>AN27+MIN(T26+AD27-AN27,MAX(0,ROUND(ROUND(Долги!$D$19-SUM($AL27:$AU27),2)-(SUM($H27:I27)-SUM($AL27:AM27)),2)))</f>
        <v>0.0</v>
      </c>
      <c r="K27" s="31">
        <f>AO27+MIN(U26+AE27-AO27,MAX(0,ROUND(ROUND(Долги!$D$19-SUM($AL27:$AU27),2)-(SUM($H27:J27)-SUM($AL27:AN27)),2)))</f>
        <v>0.0</v>
      </c>
      <c r="L27" s="31">
        <f>AP27+MIN(V26+AF27-AP27,MAX(0,ROUND(ROUND(Долги!$D$19-SUM($AL27:$AU27),2)-(SUM($H27:K27)-SUM($AL27:AO27)),2)))</f>
        <v>0.0</v>
      </c>
      <c r="M27" s="31">
        <f>AQ27+MIN(W26+AG27-AQ27,MAX(0,ROUND(ROUND(Долги!$D$19-SUM($AL27:$AU27),2)-(SUM($H27:L27)-SUM($AL27:AP27)),2)))</f>
        <v>0.0</v>
      </c>
      <c r="N27" s="31">
        <f>AR27+MIN(X26+AH27-AR27,MAX(0,ROUND(ROUND(Долги!$D$19-SUM($AL27:$AU27),2)-(SUM($H27:M27)-SUM($AL27:AQ27)),2)))</f>
        <v>0.0</v>
      </c>
      <c r="O27" s="31">
        <f>AS27+MIN(Y26+AI27-AS27,MAX(0,ROUND(ROUND(Долги!$D$19-SUM($AL27:$AU27),2)-(SUM($H27:N27)-SUM($AL27:AR27)),2)))</f>
        <v>0.0</v>
      </c>
      <c r="P27" s="31">
        <f>AT27+MIN(Z26+AJ27-AT27,MAX(0,ROUND(ROUND(Долги!$D$19-SUM($AL27:$AU27),2)-(SUM($H27:O27)-SUM($AL27:AS27)),2)))</f>
        <v>0.0</v>
      </c>
      <c r="Q27" s="31">
        <f>AU27+MIN(AA26+AK27-AU27,MAX(0,ROUND(ROUND(Долги!$D$19-SUM($AL27:$AU27),2)-(SUM($H27:P27)-SUM($AL27:AT27)),2)))</f>
        <v>0.0</v>
      </c>
      <c r="R27" s="31">
        <f>IF(R26+AB27-H27&lt;=0.01,0,ROUND(R26+AB27-H27,2))</f>
        <v>0.0</v>
      </c>
      <c r="S27" s="31">
        <f>IF(S26+AC27-I27&lt;=0.01,0,ROUND(S26+AC27-I27,2))</f>
        <v>0.0</v>
      </c>
      <c r="T27" s="31">
        <f>IF(T26+AD27-J27&lt;=0.01,0,ROUND(T26+AD27-J27,2))</f>
        <v>0.0</v>
      </c>
      <c r="U27" s="31">
        <f>IF(U26+AE27-K27&lt;=0.01,0,ROUND(U26+AE27-K27,2))</f>
        <v>0.0</v>
      </c>
      <c r="V27" s="31">
        <f>IF(V26+AF27-L27&lt;=0.01,0,ROUND(V26+AF27-L27,2))</f>
        <v>0.0</v>
      </c>
      <c r="W27" s="31">
        <f>IF(W26+AG27-M27&lt;=0.01,0,ROUND(W26+AG27-M27,2))</f>
        <v>0.0</v>
      </c>
      <c r="X27" s="31">
        <f>IF(X26+AH27-N27&lt;=0.01,0,ROUND(X26+AH27-N27,2))</f>
        <v>0.0</v>
      </c>
      <c r="Y27" s="31">
        <f>IF(Y26+AI27-O27&lt;=0.01,0,ROUND(Y26+AI27-O27,2))</f>
        <v>0.0</v>
      </c>
      <c r="Z27" s="31">
        <f>IF(Z26+AJ27-P27&lt;=0.01,0,ROUND(Z26+AJ27-P27,2))</f>
        <v>0.0</v>
      </c>
      <c r="AA27" s="31">
        <f>IF(AA26+AK27-Q27&lt;=0.01,0,ROUND(AA26+AK27-Q27,2))</f>
        <v>0.0</v>
      </c>
      <c r="AB27" s="31">
        <f>ROUND(R26*AB$5/1200,2)</f>
        <v>0.0</v>
      </c>
      <c r="AC27" s="31">
        <f>ROUND(S26*AC$5/1200,2)</f>
        <v>0.0</v>
      </c>
      <c r="AD27" s="31">
        <f>ROUND(T26*AD$5/1200,2)</f>
        <v>0.0</v>
      </c>
      <c r="AE27" s="31">
        <f>ROUND(U26*AE$5/1200,2)</f>
        <v>0.0</v>
      </c>
      <c r="AF27" s="31">
        <f>ROUND(V26*AF$5/1200,2)</f>
        <v>0.0</v>
      </c>
      <c r="AG27" s="31">
        <f>ROUND(W26*AG$5/1200,2)</f>
        <v>0.0</v>
      </c>
      <c r="AH27" s="31">
        <f>ROUND(X26*AH$5/1200,2)</f>
        <v>0.0</v>
      </c>
      <c r="AI27" s="31">
        <f>ROUND(Y26*AI$5/1200,2)</f>
        <v>0.0</v>
      </c>
      <c r="AJ27" s="31">
        <f>ROUND(Z26*AJ$5/1200,2)</f>
        <v>0.0</v>
      </c>
      <c r="AK27" s="31">
        <f>ROUND(AA26*AK$5/1200,2)</f>
        <v>0.0</v>
      </c>
      <c r="AL27" s="31">
        <f>MIN(AL$5,R26+AB27)</f>
        <v>0.0</v>
      </c>
      <c r="AM27" s="31">
        <f>MIN(AM$5,S26+AC27)</f>
        <v>0.0</v>
      </c>
      <c r="AN27" s="31">
        <f>MIN(AN$5,T26+AD27)</f>
        <v>0.0</v>
      </c>
      <c r="AO27" s="31">
        <f>MIN(AO$5,U26+AE27)</f>
        <v>0.0</v>
      </c>
      <c r="AP27" s="31">
        <f>MIN(AP$5,V26+AF27)</f>
        <v>0.0</v>
      </c>
      <c r="AQ27" s="31">
        <f>MIN(AQ$5,W26+AG27)</f>
        <v>0.0</v>
      </c>
      <c r="AR27" s="31">
        <f>MIN(AR$5,X26+AH27)</f>
        <v>0.0</v>
      </c>
      <c r="AS27" s="31">
        <f>MIN(AS$5,Y26+AI27)</f>
        <v>0.0</v>
      </c>
      <c r="AT27" s="31">
        <f>MIN(AT$5,Z26+AJ27)</f>
        <v>0.0</v>
      </c>
      <c r="AU27" s="31">
        <f>MIN(AU$5,AA26+AK27)</f>
        <v>0.0</v>
      </c>
    </row>
    <row r="28">
      <c r="A28" s="25" t="str">
        <f>IF(F27&gt;0.005,23,"")</f>
        <v/>
      </c>
      <c r="B28" s="33" t="str">
        <f>IF(A28="","",EDATE(Долги!$D$5,22))</f>
        <v/>
      </c>
      <c r="C28" s="31">
        <f>SUM(H28:Q28)</f>
        <v>0.0</v>
      </c>
      <c r="D28" s="31">
        <f>SUM(AB28:AK28)</f>
        <v>0.0</v>
      </c>
      <c r="E28" s="31">
        <f>C28-D28</f>
        <v>0.0</v>
      </c>
      <c r="F28" s="31">
        <f>SUM(R28:AA28)</f>
        <v>0.0</v>
      </c>
      <c r="G28" s="34" t="str">
        <f>IF(OR(A28="",$F$5&lt;=0),"",REPT("█",ROUND(20*F28/$F$5,0)))</f>
        <v/>
      </c>
      <c r="H28" s="31">
        <f>AL28+MIN(R27+AB28-AL28,MAX(0,ROUND(Долги!$D$19-SUM($AL28:$AU28),2)))</f>
        <v>0.0</v>
      </c>
      <c r="I28" s="31">
        <f>AM28+MIN(S27+AC28-AM28,MAX(0,ROUND(ROUND(Долги!$D$19-SUM($AL28:$AU28),2)-(SUM($H28:H28)-SUM($AL28:AL28)),2)))</f>
        <v>0.0</v>
      </c>
      <c r="J28" s="31">
        <f>AN28+MIN(T27+AD28-AN28,MAX(0,ROUND(ROUND(Долги!$D$19-SUM($AL28:$AU28),2)-(SUM($H28:I28)-SUM($AL28:AM28)),2)))</f>
        <v>0.0</v>
      </c>
      <c r="K28" s="31">
        <f>AO28+MIN(U27+AE28-AO28,MAX(0,ROUND(ROUND(Долги!$D$19-SUM($AL28:$AU28),2)-(SUM($H28:J28)-SUM($AL28:AN28)),2)))</f>
        <v>0.0</v>
      </c>
      <c r="L28" s="31">
        <f>AP28+MIN(V27+AF28-AP28,MAX(0,ROUND(ROUND(Долги!$D$19-SUM($AL28:$AU28),2)-(SUM($H28:K28)-SUM($AL28:AO28)),2)))</f>
        <v>0.0</v>
      </c>
      <c r="M28" s="31">
        <f>AQ28+MIN(W27+AG28-AQ28,MAX(0,ROUND(ROUND(Долги!$D$19-SUM($AL28:$AU28),2)-(SUM($H28:L28)-SUM($AL28:AP28)),2)))</f>
        <v>0.0</v>
      </c>
      <c r="N28" s="31">
        <f>AR28+MIN(X27+AH28-AR28,MAX(0,ROUND(ROUND(Долги!$D$19-SUM($AL28:$AU28),2)-(SUM($H28:M28)-SUM($AL28:AQ28)),2)))</f>
        <v>0.0</v>
      </c>
      <c r="O28" s="31">
        <f>AS28+MIN(Y27+AI28-AS28,MAX(0,ROUND(ROUND(Долги!$D$19-SUM($AL28:$AU28),2)-(SUM($H28:N28)-SUM($AL28:AR28)),2)))</f>
        <v>0.0</v>
      </c>
      <c r="P28" s="31">
        <f>AT28+MIN(Z27+AJ28-AT28,MAX(0,ROUND(ROUND(Долги!$D$19-SUM($AL28:$AU28),2)-(SUM($H28:O28)-SUM($AL28:AS28)),2)))</f>
        <v>0.0</v>
      </c>
      <c r="Q28" s="31">
        <f>AU28+MIN(AA27+AK28-AU28,MAX(0,ROUND(ROUND(Долги!$D$19-SUM($AL28:$AU28),2)-(SUM($H28:P28)-SUM($AL28:AT28)),2)))</f>
        <v>0.0</v>
      </c>
      <c r="R28" s="31">
        <f>IF(R27+AB28-H28&lt;=0.01,0,ROUND(R27+AB28-H28,2))</f>
        <v>0.0</v>
      </c>
      <c r="S28" s="31">
        <f>IF(S27+AC28-I28&lt;=0.01,0,ROUND(S27+AC28-I28,2))</f>
        <v>0.0</v>
      </c>
      <c r="T28" s="31">
        <f>IF(T27+AD28-J28&lt;=0.01,0,ROUND(T27+AD28-J28,2))</f>
        <v>0.0</v>
      </c>
      <c r="U28" s="31">
        <f>IF(U27+AE28-K28&lt;=0.01,0,ROUND(U27+AE28-K28,2))</f>
        <v>0.0</v>
      </c>
      <c r="V28" s="31">
        <f>IF(V27+AF28-L28&lt;=0.01,0,ROUND(V27+AF28-L28,2))</f>
        <v>0.0</v>
      </c>
      <c r="W28" s="31">
        <f>IF(W27+AG28-M28&lt;=0.01,0,ROUND(W27+AG28-M28,2))</f>
        <v>0.0</v>
      </c>
      <c r="X28" s="31">
        <f>IF(X27+AH28-N28&lt;=0.01,0,ROUND(X27+AH28-N28,2))</f>
        <v>0.0</v>
      </c>
      <c r="Y28" s="31">
        <f>IF(Y27+AI28-O28&lt;=0.01,0,ROUND(Y27+AI28-O28,2))</f>
        <v>0.0</v>
      </c>
      <c r="Z28" s="31">
        <f>IF(Z27+AJ28-P28&lt;=0.01,0,ROUND(Z27+AJ28-P28,2))</f>
        <v>0.0</v>
      </c>
      <c r="AA28" s="31">
        <f>IF(AA27+AK28-Q28&lt;=0.01,0,ROUND(AA27+AK28-Q28,2))</f>
        <v>0.0</v>
      </c>
      <c r="AB28" s="31">
        <f>ROUND(R27*AB$5/1200,2)</f>
        <v>0.0</v>
      </c>
      <c r="AC28" s="31">
        <f>ROUND(S27*AC$5/1200,2)</f>
        <v>0.0</v>
      </c>
      <c r="AD28" s="31">
        <f>ROUND(T27*AD$5/1200,2)</f>
        <v>0.0</v>
      </c>
      <c r="AE28" s="31">
        <f>ROUND(U27*AE$5/1200,2)</f>
        <v>0.0</v>
      </c>
      <c r="AF28" s="31">
        <f>ROUND(V27*AF$5/1200,2)</f>
        <v>0.0</v>
      </c>
      <c r="AG28" s="31">
        <f>ROUND(W27*AG$5/1200,2)</f>
        <v>0.0</v>
      </c>
      <c r="AH28" s="31">
        <f>ROUND(X27*AH$5/1200,2)</f>
        <v>0.0</v>
      </c>
      <c r="AI28" s="31">
        <f>ROUND(Y27*AI$5/1200,2)</f>
        <v>0.0</v>
      </c>
      <c r="AJ28" s="31">
        <f>ROUND(Z27*AJ$5/1200,2)</f>
        <v>0.0</v>
      </c>
      <c r="AK28" s="31">
        <f>ROUND(AA27*AK$5/1200,2)</f>
        <v>0.0</v>
      </c>
      <c r="AL28" s="31">
        <f>MIN(AL$5,R27+AB28)</f>
        <v>0.0</v>
      </c>
      <c r="AM28" s="31">
        <f>MIN(AM$5,S27+AC28)</f>
        <v>0.0</v>
      </c>
      <c r="AN28" s="31">
        <f>MIN(AN$5,T27+AD28)</f>
        <v>0.0</v>
      </c>
      <c r="AO28" s="31">
        <f>MIN(AO$5,U27+AE28)</f>
        <v>0.0</v>
      </c>
      <c r="AP28" s="31">
        <f>MIN(AP$5,V27+AF28)</f>
        <v>0.0</v>
      </c>
      <c r="AQ28" s="31">
        <f>MIN(AQ$5,W27+AG28)</f>
        <v>0.0</v>
      </c>
      <c r="AR28" s="31">
        <f>MIN(AR$5,X27+AH28)</f>
        <v>0.0</v>
      </c>
      <c r="AS28" s="31">
        <f>MIN(AS$5,Y27+AI28)</f>
        <v>0.0</v>
      </c>
      <c r="AT28" s="31">
        <f>MIN(AT$5,Z27+AJ28)</f>
        <v>0.0</v>
      </c>
      <c r="AU28" s="31">
        <f>MIN(AU$5,AA27+AK28)</f>
        <v>0.0</v>
      </c>
    </row>
    <row r="29">
      <c r="A29" s="25" t="str">
        <f>IF(F28&gt;0.005,24,"")</f>
        <v/>
      </c>
      <c r="B29" s="33" t="str">
        <f>IF(A29="","",EDATE(Долги!$D$5,23))</f>
        <v/>
      </c>
      <c r="C29" s="31">
        <f>SUM(H29:Q29)</f>
        <v>0.0</v>
      </c>
      <c r="D29" s="31">
        <f>SUM(AB29:AK29)</f>
        <v>0.0</v>
      </c>
      <c r="E29" s="31">
        <f>C29-D29</f>
        <v>0.0</v>
      </c>
      <c r="F29" s="31">
        <f>SUM(R29:AA29)</f>
        <v>0.0</v>
      </c>
      <c r="G29" s="34" t="str">
        <f>IF(OR(A29="",$F$5&lt;=0),"",REPT("█",ROUND(20*F29/$F$5,0)))</f>
        <v/>
      </c>
      <c r="H29" s="31">
        <f>AL29+MIN(R28+AB29-AL29,MAX(0,ROUND(Долги!$D$19-SUM($AL29:$AU29),2)))</f>
        <v>0.0</v>
      </c>
      <c r="I29" s="31">
        <f>AM29+MIN(S28+AC29-AM29,MAX(0,ROUND(ROUND(Долги!$D$19-SUM($AL29:$AU29),2)-(SUM($H29:H29)-SUM($AL29:AL29)),2)))</f>
        <v>0.0</v>
      </c>
      <c r="J29" s="31">
        <f>AN29+MIN(T28+AD29-AN29,MAX(0,ROUND(ROUND(Долги!$D$19-SUM($AL29:$AU29),2)-(SUM($H29:I29)-SUM($AL29:AM29)),2)))</f>
        <v>0.0</v>
      </c>
      <c r="K29" s="31">
        <f>AO29+MIN(U28+AE29-AO29,MAX(0,ROUND(ROUND(Долги!$D$19-SUM($AL29:$AU29),2)-(SUM($H29:J29)-SUM($AL29:AN29)),2)))</f>
        <v>0.0</v>
      </c>
      <c r="L29" s="31">
        <f>AP29+MIN(V28+AF29-AP29,MAX(0,ROUND(ROUND(Долги!$D$19-SUM($AL29:$AU29),2)-(SUM($H29:K29)-SUM($AL29:AO29)),2)))</f>
        <v>0.0</v>
      </c>
      <c r="M29" s="31">
        <f>AQ29+MIN(W28+AG29-AQ29,MAX(0,ROUND(ROUND(Долги!$D$19-SUM($AL29:$AU29),2)-(SUM($H29:L29)-SUM($AL29:AP29)),2)))</f>
        <v>0.0</v>
      </c>
      <c r="N29" s="31">
        <f>AR29+MIN(X28+AH29-AR29,MAX(0,ROUND(ROUND(Долги!$D$19-SUM($AL29:$AU29),2)-(SUM($H29:M29)-SUM($AL29:AQ29)),2)))</f>
        <v>0.0</v>
      </c>
      <c r="O29" s="31">
        <f>AS29+MIN(Y28+AI29-AS29,MAX(0,ROUND(ROUND(Долги!$D$19-SUM($AL29:$AU29),2)-(SUM($H29:N29)-SUM($AL29:AR29)),2)))</f>
        <v>0.0</v>
      </c>
      <c r="P29" s="31">
        <f>AT29+MIN(Z28+AJ29-AT29,MAX(0,ROUND(ROUND(Долги!$D$19-SUM($AL29:$AU29),2)-(SUM($H29:O29)-SUM($AL29:AS29)),2)))</f>
        <v>0.0</v>
      </c>
      <c r="Q29" s="31">
        <f>AU29+MIN(AA28+AK29-AU29,MAX(0,ROUND(ROUND(Долги!$D$19-SUM($AL29:$AU29),2)-(SUM($H29:P29)-SUM($AL29:AT29)),2)))</f>
        <v>0.0</v>
      </c>
      <c r="R29" s="31">
        <f>IF(R28+AB29-H29&lt;=0.01,0,ROUND(R28+AB29-H29,2))</f>
        <v>0.0</v>
      </c>
      <c r="S29" s="31">
        <f>IF(S28+AC29-I29&lt;=0.01,0,ROUND(S28+AC29-I29,2))</f>
        <v>0.0</v>
      </c>
      <c r="T29" s="31">
        <f>IF(T28+AD29-J29&lt;=0.01,0,ROUND(T28+AD29-J29,2))</f>
        <v>0.0</v>
      </c>
      <c r="U29" s="31">
        <f>IF(U28+AE29-K29&lt;=0.01,0,ROUND(U28+AE29-K29,2))</f>
        <v>0.0</v>
      </c>
      <c r="V29" s="31">
        <f>IF(V28+AF29-L29&lt;=0.01,0,ROUND(V28+AF29-L29,2))</f>
        <v>0.0</v>
      </c>
      <c r="W29" s="31">
        <f>IF(W28+AG29-M29&lt;=0.01,0,ROUND(W28+AG29-M29,2))</f>
        <v>0.0</v>
      </c>
      <c r="X29" s="31">
        <f>IF(X28+AH29-N29&lt;=0.01,0,ROUND(X28+AH29-N29,2))</f>
        <v>0.0</v>
      </c>
      <c r="Y29" s="31">
        <f>IF(Y28+AI29-O29&lt;=0.01,0,ROUND(Y28+AI29-O29,2))</f>
        <v>0.0</v>
      </c>
      <c r="Z29" s="31">
        <f>IF(Z28+AJ29-P29&lt;=0.01,0,ROUND(Z28+AJ29-P29,2))</f>
        <v>0.0</v>
      </c>
      <c r="AA29" s="31">
        <f>IF(AA28+AK29-Q29&lt;=0.01,0,ROUND(AA28+AK29-Q29,2))</f>
        <v>0.0</v>
      </c>
      <c r="AB29" s="31">
        <f>ROUND(R28*AB$5/1200,2)</f>
        <v>0.0</v>
      </c>
      <c r="AC29" s="31">
        <f>ROUND(S28*AC$5/1200,2)</f>
        <v>0.0</v>
      </c>
      <c r="AD29" s="31">
        <f>ROUND(T28*AD$5/1200,2)</f>
        <v>0.0</v>
      </c>
      <c r="AE29" s="31">
        <f>ROUND(U28*AE$5/1200,2)</f>
        <v>0.0</v>
      </c>
      <c r="AF29" s="31">
        <f>ROUND(V28*AF$5/1200,2)</f>
        <v>0.0</v>
      </c>
      <c r="AG29" s="31">
        <f>ROUND(W28*AG$5/1200,2)</f>
        <v>0.0</v>
      </c>
      <c r="AH29" s="31">
        <f>ROUND(X28*AH$5/1200,2)</f>
        <v>0.0</v>
      </c>
      <c r="AI29" s="31">
        <f>ROUND(Y28*AI$5/1200,2)</f>
        <v>0.0</v>
      </c>
      <c r="AJ29" s="31">
        <f>ROUND(Z28*AJ$5/1200,2)</f>
        <v>0.0</v>
      </c>
      <c r="AK29" s="31">
        <f>ROUND(AA28*AK$5/1200,2)</f>
        <v>0.0</v>
      </c>
      <c r="AL29" s="31">
        <f>MIN(AL$5,R28+AB29)</f>
        <v>0.0</v>
      </c>
      <c r="AM29" s="31">
        <f>MIN(AM$5,S28+AC29)</f>
        <v>0.0</v>
      </c>
      <c r="AN29" s="31">
        <f>MIN(AN$5,T28+AD29)</f>
        <v>0.0</v>
      </c>
      <c r="AO29" s="31">
        <f>MIN(AO$5,U28+AE29)</f>
        <v>0.0</v>
      </c>
      <c r="AP29" s="31">
        <f>MIN(AP$5,V28+AF29)</f>
        <v>0.0</v>
      </c>
      <c r="AQ29" s="31">
        <f>MIN(AQ$5,W28+AG29)</f>
        <v>0.0</v>
      </c>
      <c r="AR29" s="31">
        <f>MIN(AR$5,X28+AH29)</f>
        <v>0.0</v>
      </c>
      <c r="AS29" s="31">
        <f>MIN(AS$5,Y28+AI29)</f>
        <v>0.0</v>
      </c>
      <c r="AT29" s="31">
        <f>MIN(AT$5,Z28+AJ29)</f>
        <v>0.0</v>
      </c>
      <c r="AU29" s="31">
        <f>MIN(AU$5,AA28+AK29)</f>
        <v>0.0</v>
      </c>
    </row>
    <row r="30">
      <c r="A30" s="25" t="str">
        <f>IF(F29&gt;0.005,25,"")</f>
        <v/>
      </c>
      <c r="B30" s="33" t="str">
        <f>IF(A30="","",EDATE(Долги!$D$5,24))</f>
        <v/>
      </c>
      <c r="C30" s="31">
        <f>SUM(H30:Q30)</f>
        <v>0.0</v>
      </c>
      <c r="D30" s="31">
        <f>SUM(AB30:AK30)</f>
        <v>0.0</v>
      </c>
      <c r="E30" s="31">
        <f>C30-D30</f>
        <v>0.0</v>
      </c>
      <c r="F30" s="31">
        <f>SUM(R30:AA30)</f>
        <v>0.0</v>
      </c>
      <c r="G30" s="34" t="str">
        <f>IF(OR(A30="",$F$5&lt;=0),"",REPT("█",ROUND(20*F30/$F$5,0)))</f>
        <v/>
      </c>
      <c r="H30" s="31">
        <f>AL30+MIN(R29+AB30-AL30,MAX(0,ROUND(Долги!$D$19-SUM($AL30:$AU30),2)))</f>
        <v>0.0</v>
      </c>
      <c r="I30" s="31">
        <f>AM30+MIN(S29+AC30-AM30,MAX(0,ROUND(ROUND(Долги!$D$19-SUM($AL30:$AU30),2)-(SUM($H30:H30)-SUM($AL30:AL30)),2)))</f>
        <v>0.0</v>
      </c>
      <c r="J30" s="31">
        <f>AN30+MIN(T29+AD30-AN30,MAX(0,ROUND(ROUND(Долги!$D$19-SUM($AL30:$AU30),2)-(SUM($H30:I30)-SUM($AL30:AM30)),2)))</f>
        <v>0.0</v>
      </c>
      <c r="K30" s="31">
        <f>AO30+MIN(U29+AE30-AO30,MAX(0,ROUND(ROUND(Долги!$D$19-SUM($AL30:$AU30),2)-(SUM($H30:J30)-SUM($AL30:AN30)),2)))</f>
        <v>0.0</v>
      </c>
      <c r="L30" s="31">
        <f>AP30+MIN(V29+AF30-AP30,MAX(0,ROUND(ROUND(Долги!$D$19-SUM($AL30:$AU30),2)-(SUM($H30:K30)-SUM($AL30:AO30)),2)))</f>
        <v>0.0</v>
      </c>
      <c r="M30" s="31">
        <f>AQ30+MIN(W29+AG30-AQ30,MAX(0,ROUND(ROUND(Долги!$D$19-SUM($AL30:$AU30),2)-(SUM($H30:L30)-SUM($AL30:AP30)),2)))</f>
        <v>0.0</v>
      </c>
      <c r="N30" s="31">
        <f>AR30+MIN(X29+AH30-AR30,MAX(0,ROUND(ROUND(Долги!$D$19-SUM($AL30:$AU30),2)-(SUM($H30:M30)-SUM($AL30:AQ30)),2)))</f>
        <v>0.0</v>
      </c>
      <c r="O30" s="31">
        <f>AS30+MIN(Y29+AI30-AS30,MAX(0,ROUND(ROUND(Долги!$D$19-SUM($AL30:$AU30),2)-(SUM($H30:N30)-SUM($AL30:AR30)),2)))</f>
        <v>0.0</v>
      </c>
      <c r="P30" s="31">
        <f>AT30+MIN(Z29+AJ30-AT30,MAX(0,ROUND(ROUND(Долги!$D$19-SUM($AL30:$AU30),2)-(SUM($H30:O30)-SUM($AL30:AS30)),2)))</f>
        <v>0.0</v>
      </c>
      <c r="Q30" s="31">
        <f>AU30+MIN(AA29+AK30-AU30,MAX(0,ROUND(ROUND(Долги!$D$19-SUM($AL30:$AU30),2)-(SUM($H30:P30)-SUM($AL30:AT30)),2)))</f>
        <v>0.0</v>
      </c>
      <c r="R30" s="31">
        <f>IF(R29+AB30-H30&lt;=0.01,0,ROUND(R29+AB30-H30,2))</f>
        <v>0.0</v>
      </c>
      <c r="S30" s="31">
        <f>IF(S29+AC30-I30&lt;=0.01,0,ROUND(S29+AC30-I30,2))</f>
        <v>0.0</v>
      </c>
      <c r="T30" s="31">
        <f>IF(T29+AD30-J30&lt;=0.01,0,ROUND(T29+AD30-J30,2))</f>
        <v>0.0</v>
      </c>
      <c r="U30" s="31">
        <f>IF(U29+AE30-K30&lt;=0.01,0,ROUND(U29+AE30-K30,2))</f>
        <v>0.0</v>
      </c>
      <c r="V30" s="31">
        <f>IF(V29+AF30-L30&lt;=0.01,0,ROUND(V29+AF30-L30,2))</f>
        <v>0.0</v>
      </c>
      <c r="W30" s="31">
        <f>IF(W29+AG30-M30&lt;=0.01,0,ROUND(W29+AG30-M30,2))</f>
        <v>0.0</v>
      </c>
      <c r="X30" s="31">
        <f>IF(X29+AH30-N30&lt;=0.01,0,ROUND(X29+AH30-N30,2))</f>
        <v>0.0</v>
      </c>
      <c r="Y30" s="31">
        <f>IF(Y29+AI30-O30&lt;=0.01,0,ROUND(Y29+AI30-O30,2))</f>
        <v>0.0</v>
      </c>
      <c r="Z30" s="31">
        <f>IF(Z29+AJ30-P30&lt;=0.01,0,ROUND(Z29+AJ30-P30,2))</f>
        <v>0.0</v>
      </c>
      <c r="AA30" s="31">
        <f>IF(AA29+AK30-Q30&lt;=0.01,0,ROUND(AA29+AK30-Q30,2))</f>
        <v>0.0</v>
      </c>
      <c r="AB30" s="31">
        <f>ROUND(R29*AB$5/1200,2)</f>
        <v>0.0</v>
      </c>
      <c r="AC30" s="31">
        <f>ROUND(S29*AC$5/1200,2)</f>
        <v>0.0</v>
      </c>
      <c r="AD30" s="31">
        <f>ROUND(T29*AD$5/1200,2)</f>
        <v>0.0</v>
      </c>
      <c r="AE30" s="31">
        <f>ROUND(U29*AE$5/1200,2)</f>
        <v>0.0</v>
      </c>
      <c r="AF30" s="31">
        <f>ROUND(V29*AF$5/1200,2)</f>
        <v>0.0</v>
      </c>
      <c r="AG30" s="31">
        <f>ROUND(W29*AG$5/1200,2)</f>
        <v>0.0</v>
      </c>
      <c r="AH30" s="31">
        <f>ROUND(X29*AH$5/1200,2)</f>
        <v>0.0</v>
      </c>
      <c r="AI30" s="31">
        <f>ROUND(Y29*AI$5/1200,2)</f>
        <v>0.0</v>
      </c>
      <c r="AJ30" s="31">
        <f>ROUND(Z29*AJ$5/1200,2)</f>
        <v>0.0</v>
      </c>
      <c r="AK30" s="31">
        <f>ROUND(AA29*AK$5/1200,2)</f>
        <v>0.0</v>
      </c>
      <c r="AL30" s="31">
        <f>MIN(AL$5,R29+AB30)</f>
        <v>0.0</v>
      </c>
      <c r="AM30" s="31">
        <f>MIN(AM$5,S29+AC30)</f>
        <v>0.0</v>
      </c>
      <c r="AN30" s="31">
        <f>MIN(AN$5,T29+AD30)</f>
        <v>0.0</v>
      </c>
      <c r="AO30" s="31">
        <f>MIN(AO$5,U29+AE30)</f>
        <v>0.0</v>
      </c>
      <c r="AP30" s="31">
        <f>MIN(AP$5,V29+AF30)</f>
        <v>0.0</v>
      </c>
      <c r="AQ30" s="31">
        <f>MIN(AQ$5,W29+AG30)</f>
        <v>0.0</v>
      </c>
      <c r="AR30" s="31">
        <f>MIN(AR$5,X29+AH30)</f>
        <v>0.0</v>
      </c>
      <c r="AS30" s="31">
        <f>MIN(AS$5,Y29+AI30)</f>
        <v>0.0</v>
      </c>
      <c r="AT30" s="31">
        <f>MIN(AT$5,Z29+AJ30)</f>
        <v>0.0</v>
      </c>
      <c r="AU30" s="31">
        <f>MIN(AU$5,AA29+AK30)</f>
        <v>0.0</v>
      </c>
    </row>
    <row r="31">
      <c r="A31" s="25" t="str">
        <f>IF(F30&gt;0.005,26,"")</f>
        <v/>
      </c>
      <c r="B31" s="33" t="str">
        <f>IF(A31="","",EDATE(Долги!$D$5,25))</f>
        <v/>
      </c>
      <c r="C31" s="31">
        <f>SUM(H31:Q31)</f>
        <v>0.0</v>
      </c>
      <c r="D31" s="31">
        <f>SUM(AB31:AK31)</f>
        <v>0.0</v>
      </c>
      <c r="E31" s="31">
        <f>C31-D31</f>
        <v>0.0</v>
      </c>
      <c r="F31" s="31">
        <f>SUM(R31:AA31)</f>
        <v>0.0</v>
      </c>
      <c r="G31" s="34" t="str">
        <f>IF(OR(A31="",$F$5&lt;=0),"",REPT("█",ROUND(20*F31/$F$5,0)))</f>
        <v/>
      </c>
      <c r="H31" s="31">
        <f>AL31+MIN(R30+AB31-AL31,MAX(0,ROUND(Долги!$D$19-SUM($AL31:$AU31),2)))</f>
        <v>0.0</v>
      </c>
      <c r="I31" s="31">
        <f>AM31+MIN(S30+AC31-AM31,MAX(0,ROUND(ROUND(Долги!$D$19-SUM($AL31:$AU31),2)-(SUM($H31:H31)-SUM($AL31:AL31)),2)))</f>
        <v>0.0</v>
      </c>
      <c r="J31" s="31">
        <f>AN31+MIN(T30+AD31-AN31,MAX(0,ROUND(ROUND(Долги!$D$19-SUM($AL31:$AU31),2)-(SUM($H31:I31)-SUM($AL31:AM31)),2)))</f>
        <v>0.0</v>
      </c>
      <c r="K31" s="31">
        <f>AO31+MIN(U30+AE31-AO31,MAX(0,ROUND(ROUND(Долги!$D$19-SUM($AL31:$AU31),2)-(SUM($H31:J31)-SUM($AL31:AN31)),2)))</f>
        <v>0.0</v>
      </c>
      <c r="L31" s="31">
        <f>AP31+MIN(V30+AF31-AP31,MAX(0,ROUND(ROUND(Долги!$D$19-SUM($AL31:$AU31),2)-(SUM($H31:K31)-SUM($AL31:AO31)),2)))</f>
        <v>0.0</v>
      </c>
      <c r="M31" s="31">
        <f>AQ31+MIN(W30+AG31-AQ31,MAX(0,ROUND(ROUND(Долги!$D$19-SUM($AL31:$AU31),2)-(SUM($H31:L31)-SUM($AL31:AP31)),2)))</f>
        <v>0.0</v>
      </c>
      <c r="N31" s="31">
        <f>AR31+MIN(X30+AH31-AR31,MAX(0,ROUND(ROUND(Долги!$D$19-SUM($AL31:$AU31),2)-(SUM($H31:M31)-SUM($AL31:AQ31)),2)))</f>
        <v>0.0</v>
      </c>
      <c r="O31" s="31">
        <f>AS31+MIN(Y30+AI31-AS31,MAX(0,ROUND(ROUND(Долги!$D$19-SUM($AL31:$AU31),2)-(SUM($H31:N31)-SUM($AL31:AR31)),2)))</f>
        <v>0.0</v>
      </c>
      <c r="P31" s="31">
        <f>AT31+MIN(Z30+AJ31-AT31,MAX(0,ROUND(ROUND(Долги!$D$19-SUM($AL31:$AU31),2)-(SUM($H31:O31)-SUM($AL31:AS31)),2)))</f>
        <v>0.0</v>
      </c>
      <c r="Q31" s="31">
        <f>AU31+MIN(AA30+AK31-AU31,MAX(0,ROUND(ROUND(Долги!$D$19-SUM($AL31:$AU31),2)-(SUM($H31:P31)-SUM($AL31:AT31)),2)))</f>
        <v>0.0</v>
      </c>
      <c r="R31" s="31">
        <f>IF(R30+AB31-H31&lt;=0.01,0,ROUND(R30+AB31-H31,2))</f>
        <v>0.0</v>
      </c>
      <c r="S31" s="31">
        <f>IF(S30+AC31-I31&lt;=0.01,0,ROUND(S30+AC31-I31,2))</f>
        <v>0.0</v>
      </c>
      <c r="T31" s="31">
        <f>IF(T30+AD31-J31&lt;=0.01,0,ROUND(T30+AD31-J31,2))</f>
        <v>0.0</v>
      </c>
      <c r="U31" s="31">
        <f>IF(U30+AE31-K31&lt;=0.01,0,ROUND(U30+AE31-K31,2))</f>
        <v>0.0</v>
      </c>
      <c r="V31" s="31">
        <f>IF(V30+AF31-L31&lt;=0.01,0,ROUND(V30+AF31-L31,2))</f>
        <v>0.0</v>
      </c>
      <c r="W31" s="31">
        <f>IF(W30+AG31-M31&lt;=0.01,0,ROUND(W30+AG31-M31,2))</f>
        <v>0.0</v>
      </c>
      <c r="X31" s="31">
        <f>IF(X30+AH31-N31&lt;=0.01,0,ROUND(X30+AH31-N31,2))</f>
        <v>0.0</v>
      </c>
      <c r="Y31" s="31">
        <f>IF(Y30+AI31-O31&lt;=0.01,0,ROUND(Y30+AI31-O31,2))</f>
        <v>0.0</v>
      </c>
      <c r="Z31" s="31">
        <f>IF(Z30+AJ31-P31&lt;=0.01,0,ROUND(Z30+AJ31-P31,2))</f>
        <v>0.0</v>
      </c>
      <c r="AA31" s="31">
        <f>IF(AA30+AK31-Q31&lt;=0.01,0,ROUND(AA30+AK31-Q31,2))</f>
        <v>0.0</v>
      </c>
      <c r="AB31" s="31">
        <f>ROUND(R30*AB$5/1200,2)</f>
        <v>0.0</v>
      </c>
      <c r="AC31" s="31">
        <f>ROUND(S30*AC$5/1200,2)</f>
        <v>0.0</v>
      </c>
      <c r="AD31" s="31">
        <f>ROUND(T30*AD$5/1200,2)</f>
        <v>0.0</v>
      </c>
      <c r="AE31" s="31">
        <f>ROUND(U30*AE$5/1200,2)</f>
        <v>0.0</v>
      </c>
      <c r="AF31" s="31">
        <f>ROUND(V30*AF$5/1200,2)</f>
        <v>0.0</v>
      </c>
      <c r="AG31" s="31">
        <f>ROUND(W30*AG$5/1200,2)</f>
        <v>0.0</v>
      </c>
      <c r="AH31" s="31">
        <f>ROUND(X30*AH$5/1200,2)</f>
        <v>0.0</v>
      </c>
      <c r="AI31" s="31">
        <f>ROUND(Y30*AI$5/1200,2)</f>
        <v>0.0</v>
      </c>
      <c r="AJ31" s="31">
        <f>ROUND(Z30*AJ$5/1200,2)</f>
        <v>0.0</v>
      </c>
      <c r="AK31" s="31">
        <f>ROUND(AA30*AK$5/1200,2)</f>
        <v>0.0</v>
      </c>
      <c r="AL31" s="31">
        <f>MIN(AL$5,R30+AB31)</f>
        <v>0.0</v>
      </c>
      <c r="AM31" s="31">
        <f>MIN(AM$5,S30+AC31)</f>
        <v>0.0</v>
      </c>
      <c r="AN31" s="31">
        <f>MIN(AN$5,T30+AD31)</f>
        <v>0.0</v>
      </c>
      <c r="AO31" s="31">
        <f>MIN(AO$5,U30+AE31)</f>
        <v>0.0</v>
      </c>
      <c r="AP31" s="31">
        <f>MIN(AP$5,V30+AF31)</f>
        <v>0.0</v>
      </c>
      <c r="AQ31" s="31">
        <f>MIN(AQ$5,W30+AG31)</f>
        <v>0.0</v>
      </c>
      <c r="AR31" s="31">
        <f>MIN(AR$5,X30+AH31)</f>
        <v>0.0</v>
      </c>
      <c r="AS31" s="31">
        <f>MIN(AS$5,Y30+AI31)</f>
        <v>0.0</v>
      </c>
      <c r="AT31" s="31">
        <f>MIN(AT$5,Z30+AJ31)</f>
        <v>0.0</v>
      </c>
      <c r="AU31" s="31">
        <f>MIN(AU$5,AA30+AK31)</f>
        <v>0.0</v>
      </c>
    </row>
    <row r="32">
      <c r="A32" s="25" t="str">
        <f>IF(F31&gt;0.005,27,"")</f>
        <v/>
      </c>
      <c r="B32" s="33" t="str">
        <f>IF(A32="","",EDATE(Долги!$D$5,26))</f>
        <v/>
      </c>
      <c r="C32" s="31">
        <f>SUM(H32:Q32)</f>
        <v>0.0</v>
      </c>
      <c r="D32" s="31">
        <f>SUM(AB32:AK32)</f>
        <v>0.0</v>
      </c>
      <c r="E32" s="31">
        <f>C32-D32</f>
        <v>0.0</v>
      </c>
      <c r="F32" s="31">
        <f>SUM(R32:AA32)</f>
        <v>0.0</v>
      </c>
      <c r="G32" s="34" t="str">
        <f>IF(OR(A32="",$F$5&lt;=0),"",REPT("█",ROUND(20*F32/$F$5,0)))</f>
        <v/>
      </c>
      <c r="H32" s="31">
        <f>AL32+MIN(R31+AB32-AL32,MAX(0,ROUND(Долги!$D$19-SUM($AL32:$AU32),2)))</f>
        <v>0.0</v>
      </c>
      <c r="I32" s="31">
        <f>AM32+MIN(S31+AC32-AM32,MAX(0,ROUND(ROUND(Долги!$D$19-SUM($AL32:$AU32),2)-(SUM($H32:H32)-SUM($AL32:AL32)),2)))</f>
        <v>0.0</v>
      </c>
      <c r="J32" s="31">
        <f>AN32+MIN(T31+AD32-AN32,MAX(0,ROUND(ROUND(Долги!$D$19-SUM($AL32:$AU32),2)-(SUM($H32:I32)-SUM($AL32:AM32)),2)))</f>
        <v>0.0</v>
      </c>
      <c r="K32" s="31">
        <f>AO32+MIN(U31+AE32-AO32,MAX(0,ROUND(ROUND(Долги!$D$19-SUM($AL32:$AU32),2)-(SUM($H32:J32)-SUM($AL32:AN32)),2)))</f>
        <v>0.0</v>
      </c>
      <c r="L32" s="31">
        <f>AP32+MIN(V31+AF32-AP32,MAX(0,ROUND(ROUND(Долги!$D$19-SUM($AL32:$AU32),2)-(SUM($H32:K32)-SUM($AL32:AO32)),2)))</f>
        <v>0.0</v>
      </c>
      <c r="M32" s="31">
        <f>AQ32+MIN(W31+AG32-AQ32,MAX(0,ROUND(ROUND(Долги!$D$19-SUM($AL32:$AU32),2)-(SUM($H32:L32)-SUM($AL32:AP32)),2)))</f>
        <v>0.0</v>
      </c>
      <c r="N32" s="31">
        <f>AR32+MIN(X31+AH32-AR32,MAX(0,ROUND(ROUND(Долги!$D$19-SUM($AL32:$AU32),2)-(SUM($H32:M32)-SUM($AL32:AQ32)),2)))</f>
        <v>0.0</v>
      </c>
      <c r="O32" s="31">
        <f>AS32+MIN(Y31+AI32-AS32,MAX(0,ROUND(ROUND(Долги!$D$19-SUM($AL32:$AU32),2)-(SUM($H32:N32)-SUM($AL32:AR32)),2)))</f>
        <v>0.0</v>
      </c>
      <c r="P32" s="31">
        <f>AT32+MIN(Z31+AJ32-AT32,MAX(0,ROUND(ROUND(Долги!$D$19-SUM($AL32:$AU32),2)-(SUM($H32:O32)-SUM($AL32:AS32)),2)))</f>
        <v>0.0</v>
      </c>
      <c r="Q32" s="31">
        <f>AU32+MIN(AA31+AK32-AU32,MAX(0,ROUND(ROUND(Долги!$D$19-SUM($AL32:$AU32),2)-(SUM($H32:P32)-SUM($AL32:AT32)),2)))</f>
        <v>0.0</v>
      </c>
      <c r="R32" s="31">
        <f>IF(R31+AB32-H32&lt;=0.01,0,ROUND(R31+AB32-H32,2))</f>
        <v>0.0</v>
      </c>
      <c r="S32" s="31">
        <f>IF(S31+AC32-I32&lt;=0.01,0,ROUND(S31+AC32-I32,2))</f>
        <v>0.0</v>
      </c>
      <c r="T32" s="31">
        <f>IF(T31+AD32-J32&lt;=0.01,0,ROUND(T31+AD32-J32,2))</f>
        <v>0.0</v>
      </c>
      <c r="U32" s="31">
        <f>IF(U31+AE32-K32&lt;=0.01,0,ROUND(U31+AE32-K32,2))</f>
        <v>0.0</v>
      </c>
      <c r="V32" s="31">
        <f>IF(V31+AF32-L32&lt;=0.01,0,ROUND(V31+AF32-L32,2))</f>
        <v>0.0</v>
      </c>
      <c r="W32" s="31">
        <f>IF(W31+AG32-M32&lt;=0.01,0,ROUND(W31+AG32-M32,2))</f>
        <v>0.0</v>
      </c>
      <c r="X32" s="31">
        <f>IF(X31+AH32-N32&lt;=0.01,0,ROUND(X31+AH32-N32,2))</f>
        <v>0.0</v>
      </c>
      <c r="Y32" s="31">
        <f>IF(Y31+AI32-O32&lt;=0.01,0,ROUND(Y31+AI32-O32,2))</f>
        <v>0.0</v>
      </c>
      <c r="Z32" s="31">
        <f>IF(Z31+AJ32-P32&lt;=0.01,0,ROUND(Z31+AJ32-P32,2))</f>
        <v>0.0</v>
      </c>
      <c r="AA32" s="31">
        <f>IF(AA31+AK32-Q32&lt;=0.01,0,ROUND(AA31+AK32-Q32,2))</f>
        <v>0.0</v>
      </c>
      <c r="AB32" s="31">
        <f>ROUND(R31*AB$5/1200,2)</f>
        <v>0.0</v>
      </c>
      <c r="AC32" s="31">
        <f>ROUND(S31*AC$5/1200,2)</f>
        <v>0.0</v>
      </c>
      <c r="AD32" s="31">
        <f>ROUND(T31*AD$5/1200,2)</f>
        <v>0.0</v>
      </c>
      <c r="AE32" s="31">
        <f>ROUND(U31*AE$5/1200,2)</f>
        <v>0.0</v>
      </c>
      <c r="AF32" s="31">
        <f>ROUND(V31*AF$5/1200,2)</f>
        <v>0.0</v>
      </c>
      <c r="AG32" s="31">
        <f>ROUND(W31*AG$5/1200,2)</f>
        <v>0.0</v>
      </c>
      <c r="AH32" s="31">
        <f>ROUND(X31*AH$5/1200,2)</f>
        <v>0.0</v>
      </c>
      <c r="AI32" s="31">
        <f>ROUND(Y31*AI$5/1200,2)</f>
        <v>0.0</v>
      </c>
      <c r="AJ32" s="31">
        <f>ROUND(Z31*AJ$5/1200,2)</f>
        <v>0.0</v>
      </c>
      <c r="AK32" s="31">
        <f>ROUND(AA31*AK$5/1200,2)</f>
        <v>0.0</v>
      </c>
      <c r="AL32" s="31">
        <f>MIN(AL$5,R31+AB32)</f>
        <v>0.0</v>
      </c>
      <c r="AM32" s="31">
        <f>MIN(AM$5,S31+AC32)</f>
        <v>0.0</v>
      </c>
      <c r="AN32" s="31">
        <f>MIN(AN$5,T31+AD32)</f>
        <v>0.0</v>
      </c>
      <c r="AO32" s="31">
        <f>MIN(AO$5,U31+AE32)</f>
        <v>0.0</v>
      </c>
      <c r="AP32" s="31">
        <f>MIN(AP$5,V31+AF32)</f>
        <v>0.0</v>
      </c>
      <c r="AQ32" s="31">
        <f>MIN(AQ$5,W31+AG32)</f>
        <v>0.0</v>
      </c>
      <c r="AR32" s="31">
        <f>MIN(AR$5,X31+AH32)</f>
        <v>0.0</v>
      </c>
      <c r="AS32" s="31">
        <f>MIN(AS$5,Y31+AI32)</f>
        <v>0.0</v>
      </c>
      <c r="AT32" s="31">
        <f>MIN(AT$5,Z31+AJ32)</f>
        <v>0.0</v>
      </c>
      <c r="AU32" s="31">
        <f>MIN(AU$5,AA31+AK32)</f>
        <v>0.0</v>
      </c>
    </row>
    <row r="33">
      <c r="A33" s="25" t="str">
        <f>IF(F32&gt;0.005,28,"")</f>
        <v/>
      </c>
      <c r="B33" s="33" t="str">
        <f>IF(A33="","",EDATE(Долги!$D$5,27))</f>
        <v/>
      </c>
      <c r="C33" s="31">
        <f>SUM(H33:Q33)</f>
        <v>0.0</v>
      </c>
      <c r="D33" s="31">
        <f>SUM(AB33:AK33)</f>
        <v>0.0</v>
      </c>
      <c r="E33" s="31">
        <f>C33-D33</f>
        <v>0.0</v>
      </c>
      <c r="F33" s="31">
        <f>SUM(R33:AA33)</f>
        <v>0.0</v>
      </c>
      <c r="G33" s="34" t="str">
        <f>IF(OR(A33="",$F$5&lt;=0),"",REPT("█",ROUND(20*F33/$F$5,0)))</f>
        <v/>
      </c>
      <c r="H33" s="31">
        <f>AL33+MIN(R32+AB33-AL33,MAX(0,ROUND(Долги!$D$19-SUM($AL33:$AU33),2)))</f>
        <v>0.0</v>
      </c>
      <c r="I33" s="31">
        <f>AM33+MIN(S32+AC33-AM33,MAX(0,ROUND(ROUND(Долги!$D$19-SUM($AL33:$AU33),2)-(SUM($H33:H33)-SUM($AL33:AL33)),2)))</f>
        <v>0.0</v>
      </c>
      <c r="J33" s="31">
        <f>AN33+MIN(T32+AD33-AN33,MAX(0,ROUND(ROUND(Долги!$D$19-SUM($AL33:$AU33),2)-(SUM($H33:I33)-SUM($AL33:AM33)),2)))</f>
        <v>0.0</v>
      </c>
      <c r="K33" s="31">
        <f>AO33+MIN(U32+AE33-AO33,MAX(0,ROUND(ROUND(Долги!$D$19-SUM($AL33:$AU33),2)-(SUM($H33:J33)-SUM($AL33:AN33)),2)))</f>
        <v>0.0</v>
      </c>
      <c r="L33" s="31">
        <f>AP33+MIN(V32+AF33-AP33,MAX(0,ROUND(ROUND(Долги!$D$19-SUM($AL33:$AU33),2)-(SUM($H33:K33)-SUM($AL33:AO33)),2)))</f>
        <v>0.0</v>
      </c>
      <c r="M33" s="31">
        <f>AQ33+MIN(W32+AG33-AQ33,MAX(0,ROUND(ROUND(Долги!$D$19-SUM($AL33:$AU33),2)-(SUM($H33:L33)-SUM($AL33:AP33)),2)))</f>
        <v>0.0</v>
      </c>
      <c r="N33" s="31">
        <f>AR33+MIN(X32+AH33-AR33,MAX(0,ROUND(ROUND(Долги!$D$19-SUM($AL33:$AU33),2)-(SUM($H33:M33)-SUM($AL33:AQ33)),2)))</f>
        <v>0.0</v>
      </c>
      <c r="O33" s="31">
        <f>AS33+MIN(Y32+AI33-AS33,MAX(0,ROUND(ROUND(Долги!$D$19-SUM($AL33:$AU33),2)-(SUM($H33:N33)-SUM($AL33:AR33)),2)))</f>
        <v>0.0</v>
      </c>
      <c r="P33" s="31">
        <f>AT33+MIN(Z32+AJ33-AT33,MAX(0,ROUND(ROUND(Долги!$D$19-SUM($AL33:$AU33),2)-(SUM($H33:O33)-SUM($AL33:AS33)),2)))</f>
        <v>0.0</v>
      </c>
      <c r="Q33" s="31">
        <f>AU33+MIN(AA32+AK33-AU33,MAX(0,ROUND(ROUND(Долги!$D$19-SUM($AL33:$AU33),2)-(SUM($H33:P33)-SUM($AL33:AT33)),2)))</f>
        <v>0.0</v>
      </c>
      <c r="R33" s="31">
        <f>IF(R32+AB33-H33&lt;=0.01,0,ROUND(R32+AB33-H33,2))</f>
        <v>0.0</v>
      </c>
      <c r="S33" s="31">
        <f>IF(S32+AC33-I33&lt;=0.01,0,ROUND(S32+AC33-I33,2))</f>
        <v>0.0</v>
      </c>
      <c r="T33" s="31">
        <f>IF(T32+AD33-J33&lt;=0.01,0,ROUND(T32+AD33-J33,2))</f>
        <v>0.0</v>
      </c>
      <c r="U33" s="31">
        <f>IF(U32+AE33-K33&lt;=0.01,0,ROUND(U32+AE33-K33,2))</f>
        <v>0.0</v>
      </c>
      <c r="V33" s="31">
        <f>IF(V32+AF33-L33&lt;=0.01,0,ROUND(V32+AF33-L33,2))</f>
        <v>0.0</v>
      </c>
      <c r="W33" s="31">
        <f>IF(W32+AG33-M33&lt;=0.01,0,ROUND(W32+AG33-M33,2))</f>
        <v>0.0</v>
      </c>
      <c r="X33" s="31">
        <f>IF(X32+AH33-N33&lt;=0.01,0,ROUND(X32+AH33-N33,2))</f>
        <v>0.0</v>
      </c>
      <c r="Y33" s="31">
        <f>IF(Y32+AI33-O33&lt;=0.01,0,ROUND(Y32+AI33-O33,2))</f>
        <v>0.0</v>
      </c>
      <c r="Z33" s="31">
        <f>IF(Z32+AJ33-P33&lt;=0.01,0,ROUND(Z32+AJ33-P33,2))</f>
        <v>0.0</v>
      </c>
      <c r="AA33" s="31">
        <f>IF(AA32+AK33-Q33&lt;=0.01,0,ROUND(AA32+AK33-Q33,2))</f>
        <v>0.0</v>
      </c>
      <c r="AB33" s="31">
        <f>ROUND(R32*AB$5/1200,2)</f>
        <v>0.0</v>
      </c>
      <c r="AC33" s="31">
        <f>ROUND(S32*AC$5/1200,2)</f>
        <v>0.0</v>
      </c>
      <c r="AD33" s="31">
        <f>ROUND(T32*AD$5/1200,2)</f>
        <v>0.0</v>
      </c>
      <c r="AE33" s="31">
        <f>ROUND(U32*AE$5/1200,2)</f>
        <v>0.0</v>
      </c>
      <c r="AF33" s="31">
        <f>ROUND(V32*AF$5/1200,2)</f>
        <v>0.0</v>
      </c>
      <c r="AG33" s="31">
        <f>ROUND(W32*AG$5/1200,2)</f>
        <v>0.0</v>
      </c>
      <c r="AH33" s="31">
        <f>ROUND(X32*AH$5/1200,2)</f>
        <v>0.0</v>
      </c>
      <c r="AI33" s="31">
        <f>ROUND(Y32*AI$5/1200,2)</f>
        <v>0.0</v>
      </c>
      <c r="AJ33" s="31">
        <f>ROUND(Z32*AJ$5/1200,2)</f>
        <v>0.0</v>
      </c>
      <c r="AK33" s="31">
        <f>ROUND(AA32*AK$5/1200,2)</f>
        <v>0.0</v>
      </c>
      <c r="AL33" s="31">
        <f>MIN(AL$5,R32+AB33)</f>
        <v>0.0</v>
      </c>
      <c r="AM33" s="31">
        <f>MIN(AM$5,S32+AC33)</f>
        <v>0.0</v>
      </c>
      <c r="AN33" s="31">
        <f>MIN(AN$5,T32+AD33)</f>
        <v>0.0</v>
      </c>
      <c r="AO33" s="31">
        <f>MIN(AO$5,U32+AE33)</f>
        <v>0.0</v>
      </c>
      <c r="AP33" s="31">
        <f>MIN(AP$5,V32+AF33)</f>
        <v>0.0</v>
      </c>
      <c r="AQ33" s="31">
        <f>MIN(AQ$5,W32+AG33)</f>
        <v>0.0</v>
      </c>
      <c r="AR33" s="31">
        <f>MIN(AR$5,X32+AH33)</f>
        <v>0.0</v>
      </c>
      <c r="AS33" s="31">
        <f>MIN(AS$5,Y32+AI33)</f>
        <v>0.0</v>
      </c>
      <c r="AT33" s="31">
        <f>MIN(AT$5,Z32+AJ33)</f>
        <v>0.0</v>
      </c>
      <c r="AU33" s="31">
        <f>MIN(AU$5,AA32+AK33)</f>
        <v>0.0</v>
      </c>
    </row>
    <row r="34">
      <c r="A34" s="25" t="str">
        <f>IF(F33&gt;0.005,29,"")</f>
        <v/>
      </c>
      <c r="B34" s="33" t="str">
        <f>IF(A34="","",EDATE(Долги!$D$5,28))</f>
        <v/>
      </c>
      <c r="C34" s="31">
        <f>SUM(H34:Q34)</f>
        <v>0.0</v>
      </c>
      <c r="D34" s="31">
        <f>SUM(AB34:AK34)</f>
        <v>0.0</v>
      </c>
      <c r="E34" s="31">
        <f>C34-D34</f>
        <v>0.0</v>
      </c>
      <c r="F34" s="31">
        <f>SUM(R34:AA34)</f>
        <v>0.0</v>
      </c>
      <c r="G34" s="34" t="str">
        <f>IF(OR(A34="",$F$5&lt;=0),"",REPT("█",ROUND(20*F34/$F$5,0)))</f>
        <v/>
      </c>
      <c r="H34" s="31">
        <f>AL34+MIN(R33+AB34-AL34,MAX(0,ROUND(Долги!$D$19-SUM($AL34:$AU34),2)))</f>
        <v>0.0</v>
      </c>
      <c r="I34" s="31">
        <f>AM34+MIN(S33+AC34-AM34,MAX(0,ROUND(ROUND(Долги!$D$19-SUM($AL34:$AU34),2)-(SUM($H34:H34)-SUM($AL34:AL34)),2)))</f>
        <v>0.0</v>
      </c>
      <c r="J34" s="31">
        <f>AN34+MIN(T33+AD34-AN34,MAX(0,ROUND(ROUND(Долги!$D$19-SUM($AL34:$AU34),2)-(SUM($H34:I34)-SUM($AL34:AM34)),2)))</f>
        <v>0.0</v>
      </c>
      <c r="K34" s="31">
        <f>AO34+MIN(U33+AE34-AO34,MAX(0,ROUND(ROUND(Долги!$D$19-SUM($AL34:$AU34),2)-(SUM($H34:J34)-SUM($AL34:AN34)),2)))</f>
        <v>0.0</v>
      </c>
      <c r="L34" s="31">
        <f>AP34+MIN(V33+AF34-AP34,MAX(0,ROUND(ROUND(Долги!$D$19-SUM($AL34:$AU34),2)-(SUM($H34:K34)-SUM($AL34:AO34)),2)))</f>
        <v>0.0</v>
      </c>
      <c r="M34" s="31">
        <f>AQ34+MIN(W33+AG34-AQ34,MAX(0,ROUND(ROUND(Долги!$D$19-SUM($AL34:$AU34),2)-(SUM($H34:L34)-SUM($AL34:AP34)),2)))</f>
        <v>0.0</v>
      </c>
      <c r="N34" s="31">
        <f>AR34+MIN(X33+AH34-AR34,MAX(0,ROUND(ROUND(Долги!$D$19-SUM($AL34:$AU34),2)-(SUM($H34:M34)-SUM($AL34:AQ34)),2)))</f>
        <v>0.0</v>
      </c>
      <c r="O34" s="31">
        <f>AS34+MIN(Y33+AI34-AS34,MAX(0,ROUND(ROUND(Долги!$D$19-SUM($AL34:$AU34),2)-(SUM($H34:N34)-SUM($AL34:AR34)),2)))</f>
        <v>0.0</v>
      </c>
      <c r="P34" s="31">
        <f>AT34+MIN(Z33+AJ34-AT34,MAX(0,ROUND(ROUND(Долги!$D$19-SUM($AL34:$AU34),2)-(SUM($H34:O34)-SUM($AL34:AS34)),2)))</f>
        <v>0.0</v>
      </c>
      <c r="Q34" s="31">
        <f>AU34+MIN(AA33+AK34-AU34,MAX(0,ROUND(ROUND(Долги!$D$19-SUM($AL34:$AU34),2)-(SUM($H34:P34)-SUM($AL34:AT34)),2)))</f>
        <v>0.0</v>
      </c>
      <c r="R34" s="31">
        <f>IF(R33+AB34-H34&lt;=0.01,0,ROUND(R33+AB34-H34,2))</f>
        <v>0.0</v>
      </c>
      <c r="S34" s="31">
        <f>IF(S33+AC34-I34&lt;=0.01,0,ROUND(S33+AC34-I34,2))</f>
        <v>0.0</v>
      </c>
      <c r="T34" s="31">
        <f>IF(T33+AD34-J34&lt;=0.01,0,ROUND(T33+AD34-J34,2))</f>
        <v>0.0</v>
      </c>
      <c r="U34" s="31">
        <f>IF(U33+AE34-K34&lt;=0.01,0,ROUND(U33+AE34-K34,2))</f>
        <v>0.0</v>
      </c>
      <c r="V34" s="31">
        <f>IF(V33+AF34-L34&lt;=0.01,0,ROUND(V33+AF34-L34,2))</f>
        <v>0.0</v>
      </c>
      <c r="W34" s="31">
        <f>IF(W33+AG34-M34&lt;=0.01,0,ROUND(W33+AG34-M34,2))</f>
        <v>0.0</v>
      </c>
      <c r="X34" s="31">
        <f>IF(X33+AH34-N34&lt;=0.01,0,ROUND(X33+AH34-N34,2))</f>
        <v>0.0</v>
      </c>
      <c r="Y34" s="31">
        <f>IF(Y33+AI34-O34&lt;=0.01,0,ROUND(Y33+AI34-O34,2))</f>
        <v>0.0</v>
      </c>
      <c r="Z34" s="31">
        <f>IF(Z33+AJ34-P34&lt;=0.01,0,ROUND(Z33+AJ34-P34,2))</f>
        <v>0.0</v>
      </c>
      <c r="AA34" s="31">
        <f>IF(AA33+AK34-Q34&lt;=0.01,0,ROUND(AA33+AK34-Q34,2))</f>
        <v>0.0</v>
      </c>
      <c r="AB34" s="31">
        <f>ROUND(R33*AB$5/1200,2)</f>
        <v>0.0</v>
      </c>
      <c r="AC34" s="31">
        <f>ROUND(S33*AC$5/1200,2)</f>
        <v>0.0</v>
      </c>
      <c r="AD34" s="31">
        <f>ROUND(T33*AD$5/1200,2)</f>
        <v>0.0</v>
      </c>
      <c r="AE34" s="31">
        <f>ROUND(U33*AE$5/1200,2)</f>
        <v>0.0</v>
      </c>
      <c r="AF34" s="31">
        <f>ROUND(V33*AF$5/1200,2)</f>
        <v>0.0</v>
      </c>
      <c r="AG34" s="31">
        <f>ROUND(W33*AG$5/1200,2)</f>
        <v>0.0</v>
      </c>
      <c r="AH34" s="31">
        <f>ROUND(X33*AH$5/1200,2)</f>
        <v>0.0</v>
      </c>
      <c r="AI34" s="31">
        <f>ROUND(Y33*AI$5/1200,2)</f>
        <v>0.0</v>
      </c>
      <c r="AJ34" s="31">
        <f>ROUND(Z33*AJ$5/1200,2)</f>
        <v>0.0</v>
      </c>
      <c r="AK34" s="31">
        <f>ROUND(AA33*AK$5/1200,2)</f>
        <v>0.0</v>
      </c>
      <c r="AL34" s="31">
        <f>MIN(AL$5,R33+AB34)</f>
        <v>0.0</v>
      </c>
      <c r="AM34" s="31">
        <f>MIN(AM$5,S33+AC34)</f>
        <v>0.0</v>
      </c>
      <c r="AN34" s="31">
        <f>MIN(AN$5,T33+AD34)</f>
        <v>0.0</v>
      </c>
      <c r="AO34" s="31">
        <f>MIN(AO$5,U33+AE34)</f>
        <v>0.0</v>
      </c>
      <c r="AP34" s="31">
        <f>MIN(AP$5,V33+AF34)</f>
        <v>0.0</v>
      </c>
      <c r="AQ34" s="31">
        <f>MIN(AQ$5,W33+AG34)</f>
        <v>0.0</v>
      </c>
      <c r="AR34" s="31">
        <f>MIN(AR$5,X33+AH34)</f>
        <v>0.0</v>
      </c>
      <c r="AS34" s="31">
        <f>MIN(AS$5,Y33+AI34)</f>
        <v>0.0</v>
      </c>
      <c r="AT34" s="31">
        <f>MIN(AT$5,Z33+AJ34)</f>
        <v>0.0</v>
      </c>
      <c r="AU34" s="31">
        <f>MIN(AU$5,AA33+AK34)</f>
        <v>0.0</v>
      </c>
    </row>
    <row r="35">
      <c r="A35" s="25" t="str">
        <f>IF(F34&gt;0.005,30,"")</f>
        <v/>
      </c>
      <c r="B35" s="33" t="str">
        <f>IF(A35="","",EDATE(Долги!$D$5,29))</f>
        <v/>
      </c>
      <c r="C35" s="31">
        <f>SUM(H35:Q35)</f>
        <v>0.0</v>
      </c>
      <c r="D35" s="31">
        <f>SUM(AB35:AK35)</f>
        <v>0.0</v>
      </c>
      <c r="E35" s="31">
        <f>C35-D35</f>
        <v>0.0</v>
      </c>
      <c r="F35" s="31">
        <f>SUM(R35:AA35)</f>
        <v>0.0</v>
      </c>
      <c r="G35" s="34" t="str">
        <f>IF(OR(A35="",$F$5&lt;=0),"",REPT("█",ROUND(20*F35/$F$5,0)))</f>
        <v/>
      </c>
      <c r="H35" s="31">
        <f>AL35+MIN(R34+AB35-AL35,MAX(0,ROUND(Долги!$D$19-SUM($AL35:$AU35),2)))</f>
        <v>0.0</v>
      </c>
      <c r="I35" s="31">
        <f>AM35+MIN(S34+AC35-AM35,MAX(0,ROUND(ROUND(Долги!$D$19-SUM($AL35:$AU35),2)-(SUM($H35:H35)-SUM($AL35:AL35)),2)))</f>
        <v>0.0</v>
      </c>
      <c r="J35" s="31">
        <f>AN35+MIN(T34+AD35-AN35,MAX(0,ROUND(ROUND(Долги!$D$19-SUM($AL35:$AU35),2)-(SUM($H35:I35)-SUM($AL35:AM35)),2)))</f>
        <v>0.0</v>
      </c>
      <c r="K35" s="31">
        <f>AO35+MIN(U34+AE35-AO35,MAX(0,ROUND(ROUND(Долги!$D$19-SUM($AL35:$AU35),2)-(SUM($H35:J35)-SUM($AL35:AN35)),2)))</f>
        <v>0.0</v>
      </c>
      <c r="L35" s="31">
        <f>AP35+MIN(V34+AF35-AP35,MAX(0,ROUND(ROUND(Долги!$D$19-SUM($AL35:$AU35),2)-(SUM($H35:K35)-SUM($AL35:AO35)),2)))</f>
        <v>0.0</v>
      </c>
      <c r="M35" s="31">
        <f>AQ35+MIN(W34+AG35-AQ35,MAX(0,ROUND(ROUND(Долги!$D$19-SUM($AL35:$AU35),2)-(SUM($H35:L35)-SUM($AL35:AP35)),2)))</f>
        <v>0.0</v>
      </c>
      <c r="N35" s="31">
        <f>AR35+MIN(X34+AH35-AR35,MAX(0,ROUND(ROUND(Долги!$D$19-SUM($AL35:$AU35),2)-(SUM($H35:M35)-SUM($AL35:AQ35)),2)))</f>
        <v>0.0</v>
      </c>
      <c r="O35" s="31">
        <f>AS35+MIN(Y34+AI35-AS35,MAX(0,ROUND(ROUND(Долги!$D$19-SUM($AL35:$AU35),2)-(SUM($H35:N35)-SUM($AL35:AR35)),2)))</f>
        <v>0.0</v>
      </c>
      <c r="P35" s="31">
        <f>AT35+MIN(Z34+AJ35-AT35,MAX(0,ROUND(ROUND(Долги!$D$19-SUM($AL35:$AU35),2)-(SUM($H35:O35)-SUM($AL35:AS35)),2)))</f>
        <v>0.0</v>
      </c>
      <c r="Q35" s="31">
        <f>AU35+MIN(AA34+AK35-AU35,MAX(0,ROUND(ROUND(Долги!$D$19-SUM($AL35:$AU35),2)-(SUM($H35:P35)-SUM($AL35:AT35)),2)))</f>
        <v>0.0</v>
      </c>
      <c r="R35" s="31">
        <f>IF(R34+AB35-H35&lt;=0.01,0,ROUND(R34+AB35-H35,2))</f>
        <v>0.0</v>
      </c>
      <c r="S35" s="31">
        <f>IF(S34+AC35-I35&lt;=0.01,0,ROUND(S34+AC35-I35,2))</f>
        <v>0.0</v>
      </c>
      <c r="T35" s="31">
        <f>IF(T34+AD35-J35&lt;=0.01,0,ROUND(T34+AD35-J35,2))</f>
        <v>0.0</v>
      </c>
      <c r="U35" s="31">
        <f>IF(U34+AE35-K35&lt;=0.01,0,ROUND(U34+AE35-K35,2))</f>
        <v>0.0</v>
      </c>
      <c r="V35" s="31">
        <f>IF(V34+AF35-L35&lt;=0.01,0,ROUND(V34+AF35-L35,2))</f>
        <v>0.0</v>
      </c>
      <c r="W35" s="31">
        <f>IF(W34+AG35-M35&lt;=0.01,0,ROUND(W34+AG35-M35,2))</f>
        <v>0.0</v>
      </c>
      <c r="X35" s="31">
        <f>IF(X34+AH35-N35&lt;=0.01,0,ROUND(X34+AH35-N35,2))</f>
        <v>0.0</v>
      </c>
      <c r="Y35" s="31">
        <f>IF(Y34+AI35-O35&lt;=0.01,0,ROUND(Y34+AI35-O35,2))</f>
        <v>0.0</v>
      </c>
      <c r="Z35" s="31">
        <f>IF(Z34+AJ35-P35&lt;=0.01,0,ROUND(Z34+AJ35-P35,2))</f>
        <v>0.0</v>
      </c>
      <c r="AA35" s="31">
        <f>IF(AA34+AK35-Q35&lt;=0.01,0,ROUND(AA34+AK35-Q35,2))</f>
        <v>0.0</v>
      </c>
      <c r="AB35" s="31">
        <f>ROUND(R34*AB$5/1200,2)</f>
        <v>0.0</v>
      </c>
      <c r="AC35" s="31">
        <f>ROUND(S34*AC$5/1200,2)</f>
        <v>0.0</v>
      </c>
      <c r="AD35" s="31">
        <f>ROUND(T34*AD$5/1200,2)</f>
        <v>0.0</v>
      </c>
      <c r="AE35" s="31">
        <f>ROUND(U34*AE$5/1200,2)</f>
        <v>0.0</v>
      </c>
      <c r="AF35" s="31">
        <f>ROUND(V34*AF$5/1200,2)</f>
        <v>0.0</v>
      </c>
      <c r="AG35" s="31">
        <f>ROUND(W34*AG$5/1200,2)</f>
        <v>0.0</v>
      </c>
      <c r="AH35" s="31">
        <f>ROUND(X34*AH$5/1200,2)</f>
        <v>0.0</v>
      </c>
      <c r="AI35" s="31">
        <f>ROUND(Y34*AI$5/1200,2)</f>
        <v>0.0</v>
      </c>
      <c r="AJ35" s="31">
        <f>ROUND(Z34*AJ$5/1200,2)</f>
        <v>0.0</v>
      </c>
      <c r="AK35" s="31">
        <f>ROUND(AA34*AK$5/1200,2)</f>
        <v>0.0</v>
      </c>
      <c r="AL35" s="31">
        <f>MIN(AL$5,R34+AB35)</f>
        <v>0.0</v>
      </c>
      <c r="AM35" s="31">
        <f>MIN(AM$5,S34+AC35)</f>
        <v>0.0</v>
      </c>
      <c r="AN35" s="31">
        <f>MIN(AN$5,T34+AD35)</f>
        <v>0.0</v>
      </c>
      <c r="AO35" s="31">
        <f>MIN(AO$5,U34+AE35)</f>
        <v>0.0</v>
      </c>
      <c r="AP35" s="31">
        <f>MIN(AP$5,V34+AF35)</f>
        <v>0.0</v>
      </c>
      <c r="AQ35" s="31">
        <f>MIN(AQ$5,W34+AG35)</f>
        <v>0.0</v>
      </c>
      <c r="AR35" s="31">
        <f>MIN(AR$5,X34+AH35)</f>
        <v>0.0</v>
      </c>
      <c r="AS35" s="31">
        <f>MIN(AS$5,Y34+AI35)</f>
        <v>0.0</v>
      </c>
      <c r="AT35" s="31">
        <f>MIN(AT$5,Z34+AJ35)</f>
        <v>0.0</v>
      </c>
      <c r="AU35" s="31">
        <f>MIN(AU$5,AA34+AK35)</f>
        <v>0.0</v>
      </c>
    </row>
    <row r="36">
      <c r="A36" s="25" t="str">
        <f>IF(F35&gt;0.005,31,"")</f>
        <v/>
      </c>
      <c r="B36" s="33" t="str">
        <f>IF(A36="","",EDATE(Долги!$D$5,30))</f>
        <v/>
      </c>
      <c r="C36" s="31">
        <f>SUM(H36:Q36)</f>
        <v>0.0</v>
      </c>
      <c r="D36" s="31">
        <f>SUM(AB36:AK36)</f>
        <v>0.0</v>
      </c>
      <c r="E36" s="31">
        <f>C36-D36</f>
        <v>0.0</v>
      </c>
      <c r="F36" s="31">
        <f>SUM(R36:AA36)</f>
        <v>0.0</v>
      </c>
      <c r="G36" s="34" t="str">
        <f>IF(OR(A36="",$F$5&lt;=0),"",REPT("█",ROUND(20*F36/$F$5,0)))</f>
        <v/>
      </c>
      <c r="H36" s="31">
        <f>AL36+MIN(R35+AB36-AL36,MAX(0,ROUND(Долги!$D$19-SUM($AL36:$AU36),2)))</f>
        <v>0.0</v>
      </c>
      <c r="I36" s="31">
        <f>AM36+MIN(S35+AC36-AM36,MAX(0,ROUND(ROUND(Долги!$D$19-SUM($AL36:$AU36),2)-(SUM($H36:H36)-SUM($AL36:AL36)),2)))</f>
        <v>0.0</v>
      </c>
      <c r="J36" s="31">
        <f>AN36+MIN(T35+AD36-AN36,MAX(0,ROUND(ROUND(Долги!$D$19-SUM($AL36:$AU36),2)-(SUM($H36:I36)-SUM($AL36:AM36)),2)))</f>
        <v>0.0</v>
      </c>
      <c r="K36" s="31">
        <f>AO36+MIN(U35+AE36-AO36,MAX(0,ROUND(ROUND(Долги!$D$19-SUM($AL36:$AU36),2)-(SUM($H36:J36)-SUM($AL36:AN36)),2)))</f>
        <v>0.0</v>
      </c>
      <c r="L36" s="31">
        <f>AP36+MIN(V35+AF36-AP36,MAX(0,ROUND(ROUND(Долги!$D$19-SUM($AL36:$AU36),2)-(SUM($H36:K36)-SUM($AL36:AO36)),2)))</f>
        <v>0.0</v>
      </c>
      <c r="M36" s="31">
        <f>AQ36+MIN(W35+AG36-AQ36,MAX(0,ROUND(ROUND(Долги!$D$19-SUM($AL36:$AU36),2)-(SUM($H36:L36)-SUM($AL36:AP36)),2)))</f>
        <v>0.0</v>
      </c>
      <c r="N36" s="31">
        <f>AR36+MIN(X35+AH36-AR36,MAX(0,ROUND(ROUND(Долги!$D$19-SUM($AL36:$AU36),2)-(SUM($H36:M36)-SUM($AL36:AQ36)),2)))</f>
        <v>0.0</v>
      </c>
      <c r="O36" s="31">
        <f>AS36+MIN(Y35+AI36-AS36,MAX(0,ROUND(ROUND(Долги!$D$19-SUM($AL36:$AU36),2)-(SUM($H36:N36)-SUM($AL36:AR36)),2)))</f>
        <v>0.0</v>
      </c>
      <c r="P36" s="31">
        <f>AT36+MIN(Z35+AJ36-AT36,MAX(0,ROUND(ROUND(Долги!$D$19-SUM($AL36:$AU36),2)-(SUM($H36:O36)-SUM($AL36:AS36)),2)))</f>
        <v>0.0</v>
      </c>
      <c r="Q36" s="31">
        <f>AU36+MIN(AA35+AK36-AU36,MAX(0,ROUND(ROUND(Долги!$D$19-SUM($AL36:$AU36),2)-(SUM($H36:P36)-SUM($AL36:AT36)),2)))</f>
        <v>0.0</v>
      </c>
      <c r="R36" s="31">
        <f>IF(R35+AB36-H36&lt;=0.01,0,ROUND(R35+AB36-H36,2))</f>
        <v>0.0</v>
      </c>
      <c r="S36" s="31">
        <f>IF(S35+AC36-I36&lt;=0.01,0,ROUND(S35+AC36-I36,2))</f>
        <v>0.0</v>
      </c>
      <c r="T36" s="31">
        <f>IF(T35+AD36-J36&lt;=0.01,0,ROUND(T35+AD36-J36,2))</f>
        <v>0.0</v>
      </c>
      <c r="U36" s="31">
        <f>IF(U35+AE36-K36&lt;=0.01,0,ROUND(U35+AE36-K36,2))</f>
        <v>0.0</v>
      </c>
      <c r="V36" s="31">
        <f>IF(V35+AF36-L36&lt;=0.01,0,ROUND(V35+AF36-L36,2))</f>
        <v>0.0</v>
      </c>
      <c r="W36" s="31">
        <f>IF(W35+AG36-M36&lt;=0.01,0,ROUND(W35+AG36-M36,2))</f>
        <v>0.0</v>
      </c>
      <c r="X36" s="31">
        <f>IF(X35+AH36-N36&lt;=0.01,0,ROUND(X35+AH36-N36,2))</f>
        <v>0.0</v>
      </c>
      <c r="Y36" s="31">
        <f>IF(Y35+AI36-O36&lt;=0.01,0,ROUND(Y35+AI36-O36,2))</f>
        <v>0.0</v>
      </c>
      <c r="Z36" s="31">
        <f>IF(Z35+AJ36-P36&lt;=0.01,0,ROUND(Z35+AJ36-P36,2))</f>
        <v>0.0</v>
      </c>
      <c r="AA36" s="31">
        <f>IF(AA35+AK36-Q36&lt;=0.01,0,ROUND(AA35+AK36-Q36,2))</f>
        <v>0.0</v>
      </c>
      <c r="AB36" s="31">
        <f>ROUND(R35*AB$5/1200,2)</f>
        <v>0.0</v>
      </c>
      <c r="AC36" s="31">
        <f>ROUND(S35*AC$5/1200,2)</f>
        <v>0.0</v>
      </c>
      <c r="AD36" s="31">
        <f>ROUND(T35*AD$5/1200,2)</f>
        <v>0.0</v>
      </c>
      <c r="AE36" s="31">
        <f>ROUND(U35*AE$5/1200,2)</f>
        <v>0.0</v>
      </c>
      <c r="AF36" s="31">
        <f>ROUND(V35*AF$5/1200,2)</f>
        <v>0.0</v>
      </c>
      <c r="AG36" s="31">
        <f>ROUND(W35*AG$5/1200,2)</f>
        <v>0.0</v>
      </c>
      <c r="AH36" s="31">
        <f>ROUND(X35*AH$5/1200,2)</f>
        <v>0.0</v>
      </c>
      <c r="AI36" s="31">
        <f>ROUND(Y35*AI$5/1200,2)</f>
        <v>0.0</v>
      </c>
      <c r="AJ36" s="31">
        <f>ROUND(Z35*AJ$5/1200,2)</f>
        <v>0.0</v>
      </c>
      <c r="AK36" s="31">
        <f>ROUND(AA35*AK$5/1200,2)</f>
        <v>0.0</v>
      </c>
      <c r="AL36" s="31">
        <f>MIN(AL$5,R35+AB36)</f>
        <v>0.0</v>
      </c>
      <c r="AM36" s="31">
        <f>MIN(AM$5,S35+AC36)</f>
        <v>0.0</v>
      </c>
      <c r="AN36" s="31">
        <f>MIN(AN$5,T35+AD36)</f>
        <v>0.0</v>
      </c>
      <c r="AO36" s="31">
        <f>MIN(AO$5,U35+AE36)</f>
        <v>0.0</v>
      </c>
      <c r="AP36" s="31">
        <f>MIN(AP$5,V35+AF36)</f>
        <v>0.0</v>
      </c>
      <c r="AQ36" s="31">
        <f>MIN(AQ$5,W35+AG36)</f>
        <v>0.0</v>
      </c>
      <c r="AR36" s="31">
        <f>MIN(AR$5,X35+AH36)</f>
        <v>0.0</v>
      </c>
      <c r="AS36" s="31">
        <f>MIN(AS$5,Y35+AI36)</f>
        <v>0.0</v>
      </c>
      <c r="AT36" s="31">
        <f>MIN(AT$5,Z35+AJ36)</f>
        <v>0.0</v>
      </c>
      <c r="AU36" s="31">
        <f>MIN(AU$5,AA35+AK36)</f>
        <v>0.0</v>
      </c>
    </row>
    <row r="37">
      <c r="A37" s="25" t="str">
        <f>IF(F36&gt;0.005,32,"")</f>
        <v/>
      </c>
      <c r="B37" s="33" t="str">
        <f>IF(A37="","",EDATE(Долги!$D$5,31))</f>
        <v/>
      </c>
      <c r="C37" s="31">
        <f>SUM(H37:Q37)</f>
        <v>0.0</v>
      </c>
      <c r="D37" s="31">
        <f>SUM(AB37:AK37)</f>
        <v>0.0</v>
      </c>
      <c r="E37" s="31">
        <f>C37-D37</f>
        <v>0.0</v>
      </c>
      <c r="F37" s="31">
        <f>SUM(R37:AA37)</f>
        <v>0.0</v>
      </c>
      <c r="G37" s="34" t="str">
        <f>IF(OR(A37="",$F$5&lt;=0),"",REPT("█",ROUND(20*F37/$F$5,0)))</f>
        <v/>
      </c>
      <c r="H37" s="31">
        <f>AL37+MIN(R36+AB37-AL37,MAX(0,ROUND(Долги!$D$19-SUM($AL37:$AU37),2)))</f>
        <v>0.0</v>
      </c>
      <c r="I37" s="31">
        <f>AM37+MIN(S36+AC37-AM37,MAX(0,ROUND(ROUND(Долги!$D$19-SUM($AL37:$AU37),2)-(SUM($H37:H37)-SUM($AL37:AL37)),2)))</f>
        <v>0.0</v>
      </c>
      <c r="J37" s="31">
        <f>AN37+MIN(T36+AD37-AN37,MAX(0,ROUND(ROUND(Долги!$D$19-SUM($AL37:$AU37),2)-(SUM($H37:I37)-SUM($AL37:AM37)),2)))</f>
        <v>0.0</v>
      </c>
      <c r="K37" s="31">
        <f>AO37+MIN(U36+AE37-AO37,MAX(0,ROUND(ROUND(Долги!$D$19-SUM($AL37:$AU37),2)-(SUM($H37:J37)-SUM($AL37:AN37)),2)))</f>
        <v>0.0</v>
      </c>
      <c r="L37" s="31">
        <f>AP37+MIN(V36+AF37-AP37,MAX(0,ROUND(ROUND(Долги!$D$19-SUM($AL37:$AU37),2)-(SUM($H37:K37)-SUM($AL37:AO37)),2)))</f>
        <v>0.0</v>
      </c>
      <c r="M37" s="31">
        <f>AQ37+MIN(W36+AG37-AQ37,MAX(0,ROUND(ROUND(Долги!$D$19-SUM($AL37:$AU37),2)-(SUM($H37:L37)-SUM($AL37:AP37)),2)))</f>
        <v>0.0</v>
      </c>
      <c r="N37" s="31">
        <f>AR37+MIN(X36+AH37-AR37,MAX(0,ROUND(ROUND(Долги!$D$19-SUM($AL37:$AU37),2)-(SUM($H37:M37)-SUM($AL37:AQ37)),2)))</f>
        <v>0.0</v>
      </c>
      <c r="O37" s="31">
        <f>AS37+MIN(Y36+AI37-AS37,MAX(0,ROUND(ROUND(Долги!$D$19-SUM($AL37:$AU37),2)-(SUM($H37:N37)-SUM($AL37:AR37)),2)))</f>
        <v>0.0</v>
      </c>
      <c r="P37" s="31">
        <f>AT37+MIN(Z36+AJ37-AT37,MAX(0,ROUND(ROUND(Долги!$D$19-SUM($AL37:$AU37),2)-(SUM($H37:O37)-SUM($AL37:AS37)),2)))</f>
        <v>0.0</v>
      </c>
      <c r="Q37" s="31">
        <f>AU37+MIN(AA36+AK37-AU37,MAX(0,ROUND(ROUND(Долги!$D$19-SUM($AL37:$AU37),2)-(SUM($H37:P37)-SUM($AL37:AT37)),2)))</f>
        <v>0.0</v>
      </c>
      <c r="R37" s="31">
        <f>IF(R36+AB37-H37&lt;=0.01,0,ROUND(R36+AB37-H37,2))</f>
        <v>0.0</v>
      </c>
      <c r="S37" s="31">
        <f>IF(S36+AC37-I37&lt;=0.01,0,ROUND(S36+AC37-I37,2))</f>
        <v>0.0</v>
      </c>
      <c r="T37" s="31">
        <f>IF(T36+AD37-J37&lt;=0.01,0,ROUND(T36+AD37-J37,2))</f>
        <v>0.0</v>
      </c>
      <c r="U37" s="31">
        <f>IF(U36+AE37-K37&lt;=0.01,0,ROUND(U36+AE37-K37,2))</f>
        <v>0.0</v>
      </c>
      <c r="V37" s="31">
        <f>IF(V36+AF37-L37&lt;=0.01,0,ROUND(V36+AF37-L37,2))</f>
        <v>0.0</v>
      </c>
      <c r="W37" s="31">
        <f>IF(W36+AG37-M37&lt;=0.01,0,ROUND(W36+AG37-M37,2))</f>
        <v>0.0</v>
      </c>
      <c r="X37" s="31">
        <f>IF(X36+AH37-N37&lt;=0.01,0,ROUND(X36+AH37-N37,2))</f>
        <v>0.0</v>
      </c>
      <c r="Y37" s="31">
        <f>IF(Y36+AI37-O37&lt;=0.01,0,ROUND(Y36+AI37-O37,2))</f>
        <v>0.0</v>
      </c>
      <c r="Z37" s="31">
        <f>IF(Z36+AJ37-P37&lt;=0.01,0,ROUND(Z36+AJ37-P37,2))</f>
        <v>0.0</v>
      </c>
      <c r="AA37" s="31">
        <f>IF(AA36+AK37-Q37&lt;=0.01,0,ROUND(AA36+AK37-Q37,2))</f>
        <v>0.0</v>
      </c>
      <c r="AB37" s="31">
        <f>ROUND(R36*AB$5/1200,2)</f>
        <v>0.0</v>
      </c>
      <c r="AC37" s="31">
        <f>ROUND(S36*AC$5/1200,2)</f>
        <v>0.0</v>
      </c>
      <c r="AD37" s="31">
        <f>ROUND(T36*AD$5/1200,2)</f>
        <v>0.0</v>
      </c>
      <c r="AE37" s="31">
        <f>ROUND(U36*AE$5/1200,2)</f>
        <v>0.0</v>
      </c>
      <c r="AF37" s="31">
        <f>ROUND(V36*AF$5/1200,2)</f>
        <v>0.0</v>
      </c>
      <c r="AG37" s="31">
        <f>ROUND(W36*AG$5/1200,2)</f>
        <v>0.0</v>
      </c>
      <c r="AH37" s="31">
        <f>ROUND(X36*AH$5/1200,2)</f>
        <v>0.0</v>
      </c>
      <c r="AI37" s="31">
        <f>ROUND(Y36*AI$5/1200,2)</f>
        <v>0.0</v>
      </c>
      <c r="AJ37" s="31">
        <f>ROUND(Z36*AJ$5/1200,2)</f>
        <v>0.0</v>
      </c>
      <c r="AK37" s="31">
        <f>ROUND(AA36*AK$5/1200,2)</f>
        <v>0.0</v>
      </c>
      <c r="AL37" s="31">
        <f>MIN(AL$5,R36+AB37)</f>
        <v>0.0</v>
      </c>
      <c r="AM37" s="31">
        <f>MIN(AM$5,S36+AC37)</f>
        <v>0.0</v>
      </c>
      <c r="AN37" s="31">
        <f>MIN(AN$5,T36+AD37)</f>
        <v>0.0</v>
      </c>
      <c r="AO37" s="31">
        <f>MIN(AO$5,U36+AE37)</f>
        <v>0.0</v>
      </c>
      <c r="AP37" s="31">
        <f>MIN(AP$5,V36+AF37)</f>
        <v>0.0</v>
      </c>
      <c r="AQ37" s="31">
        <f>MIN(AQ$5,W36+AG37)</f>
        <v>0.0</v>
      </c>
      <c r="AR37" s="31">
        <f>MIN(AR$5,X36+AH37)</f>
        <v>0.0</v>
      </c>
      <c r="AS37" s="31">
        <f>MIN(AS$5,Y36+AI37)</f>
        <v>0.0</v>
      </c>
      <c r="AT37" s="31">
        <f>MIN(AT$5,Z36+AJ37)</f>
        <v>0.0</v>
      </c>
      <c r="AU37" s="31">
        <f>MIN(AU$5,AA36+AK37)</f>
        <v>0.0</v>
      </c>
    </row>
    <row r="38">
      <c r="A38" s="25" t="str">
        <f>IF(F37&gt;0.005,33,"")</f>
        <v/>
      </c>
      <c r="B38" s="33" t="str">
        <f>IF(A38="","",EDATE(Долги!$D$5,32))</f>
        <v/>
      </c>
      <c r="C38" s="31">
        <f>SUM(H38:Q38)</f>
        <v>0.0</v>
      </c>
      <c r="D38" s="31">
        <f>SUM(AB38:AK38)</f>
        <v>0.0</v>
      </c>
      <c r="E38" s="31">
        <f>C38-D38</f>
        <v>0.0</v>
      </c>
      <c r="F38" s="31">
        <f>SUM(R38:AA38)</f>
        <v>0.0</v>
      </c>
      <c r="G38" s="34" t="str">
        <f>IF(OR(A38="",$F$5&lt;=0),"",REPT("█",ROUND(20*F38/$F$5,0)))</f>
        <v/>
      </c>
      <c r="H38" s="31">
        <f>AL38+MIN(R37+AB38-AL38,MAX(0,ROUND(Долги!$D$19-SUM($AL38:$AU38),2)))</f>
        <v>0.0</v>
      </c>
      <c r="I38" s="31">
        <f>AM38+MIN(S37+AC38-AM38,MAX(0,ROUND(ROUND(Долги!$D$19-SUM($AL38:$AU38),2)-(SUM($H38:H38)-SUM($AL38:AL38)),2)))</f>
        <v>0.0</v>
      </c>
      <c r="J38" s="31">
        <f>AN38+MIN(T37+AD38-AN38,MAX(0,ROUND(ROUND(Долги!$D$19-SUM($AL38:$AU38),2)-(SUM($H38:I38)-SUM($AL38:AM38)),2)))</f>
        <v>0.0</v>
      </c>
      <c r="K38" s="31">
        <f>AO38+MIN(U37+AE38-AO38,MAX(0,ROUND(ROUND(Долги!$D$19-SUM($AL38:$AU38),2)-(SUM($H38:J38)-SUM($AL38:AN38)),2)))</f>
        <v>0.0</v>
      </c>
      <c r="L38" s="31">
        <f>AP38+MIN(V37+AF38-AP38,MAX(0,ROUND(ROUND(Долги!$D$19-SUM($AL38:$AU38),2)-(SUM($H38:K38)-SUM($AL38:AO38)),2)))</f>
        <v>0.0</v>
      </c>
      <c r="M38" s="31">
        <f>AQ38+MIN(W37+AG38-AQ38,MAX(0,ROUND(ROUND(Долги!$D$19-SUM($AL38:$AU38),2)-(SUM($H38:L38)-SUM($AL38:AP38)),2)))</f>
        <v>0.0</v>
      </c>
      <c r="N38" s="31">
        <f>AR38+MIN(X37+AH38-AR38,MAX(0,ROUND(ROUND(Долги!$D$19-SUM($AL38:$AU38),2)-(SUM($H38:M38)-SUM($AL38:AQ38)),2)))</f>
        <v>0.0</v>
      </c>
      <c r="O38" s="31">
        <f>AS38+MIN(Y37+AI38-AS38,MAX(0,ROUND(ROUND(Долги!$D$19-SUM($AL38:$AU38),2)-(SUM($H38:N38)-SUM($AL38:AR38)),2)))</f>
        <v>0.0</v>
      </c>
      <c r="P38" s="31">
        <f>AT38+MIN(Z37+AJ38-AT38,MAX(0,ROUND(ROUND(Долги!$D$19-SUM($AL38:$AU38),2)-(SUM($H38:O38)-SUM($AL38:AS38)),2)))</f>
        <v>0.0</v>
      </c>
      <c r="Q38" s="31">
        <f>AU38+MIN(AA37+AK38-AU38,MAX(0,ROUND(ROUND(Долги!$D$19-SUM($AL38:$AU38),2)-(SUM($H38:P38)-SUM($AL38:AT38)),2)))</f>
        <v>0.0</v>
      </c>
      <c r="R38" s="31">
        <f>IF(R37+AB38-H38&lt;=0.01,0,ROUND(R37+AB38-H38,2))</f>
        <v>0.0</v>
      </c>
      <c r="S38" s="31">
        <f>IF(S37+AC38-I38&lt;=0.01,0,ROUND(S37+AC38-I38,2))</f>
        <v>0.0</v>
      </c>
      <c r="T38" s="31">
        <f>IF(T37+AD38-J38&lt;=0.01,0,ROUND(T37+AD38-J38,2))</f>
        <v>0.0</v>
      </c>
      <c r="U38" s="31">
        <f>IF(U37+AE38-K38&lt;=0.01,0,ROUND(U37+AE38-K38,2))</f>
        <v>0.0</v>
      </c>
      <c r="V38" s="31">
        <f>IF(V37+AF38-L38&lt;=0.01,0,ROUND(V37+AF38-L38,2))</f>
        <v>0.0</v>
      </c>
      <c r="W38" s="31">
        <f>IF(W37+AG38-M38&lt;=0.01,0,ROUND(W37+AG38-M38,2))</f>
        <v>0.0</v>
      </c>
      <c r="X38" s="31">
        <f>IF(X37+AH38-N38&lt;=0.01,0,ROUND(X37+AH38-N38,2))</f>
        <v>0.0</v>
      </c>
      <c r="Y38" s="31">
        <f>IF(Y37+AI38-O38&lt;=0.01,0,ROUND(Y37+AI38-O38,2))</f>
        <v>0.0</v>
      </c>
      <c r="Z38" s="31">
        <f>IF(Z37+AJ38-P38&lt;=0.01,0,ROUND(Z37+AJ38-P38,2))</f>
        <v>0.0</v>
      </c>
      <c r="AA38" s="31">
        <f>IF(AA37+AK38-Q38&lt;=0.01,0,ROUND(AA37+AK38-Q38,2))</f>
        <v>0.0</v>
      </c>
      <c r="AB38" s="31">
        <f>ROUND(R37*AB$5/1200,2)</f>
        <v>0.0</v>
      </c>
      <c r="AC38" s="31">
        <f>ROUND(S37*AC$5/1200,2)</f>
        <v>0.0</v>
      </c>
      <c r="AD38" s="31">
        <f>ROUND(T37*AD$5/1200,2)</f>
        <v>0.0</v>
      </c>
      <c r="AE38" s="31">
        <f>ROUND(U37*AE$5/1200,2)</f>
        <v>0.0</v>
      </c>
      <c r="AF38" s="31">
        <f>ROUND(V37*AF$5/1200,2)</f>
        <v>0.0</v>
      </c>
      <c r="AG38" s="31">
        <f>ROUND(W37*AG$5/1200,2)</f>
        <v>0.0</v>
      </c>
      <c r="AH38" s="31">
        <f>ROUND(X37*AH$5/1200,2)</f>
        <v>0.0</v>
      </c>
      <c r="AI38" s="31">
        <f>ROUND(Y37*AI$5/1200,2)</f>
        <v>0.0</v>
      </c>
      <c r="AJ38" s="31">
        <f>ROUND(Z37*AJ$5/1200,2)</f>
        <v>0.0</v>
      </c>
      <c r="AK38" s="31">
        <f>ROUND(AA37*AK$5/1200,2)</f>
        <v>0.0</v>
      </c>
      <c r="AL38" s="31">
        <f>MIN(AL$5,R37+AB38)</f>
        <v>0.0</v>
      </c>
      <c r="AM38" s="31">
        <f>MIN(AM$5,S37+AC38)</f>
        <v>0.0</v>
      </c>
      <c r="AN38" s="31">
        <f>MIN(AN$5,T37+AD38)</f>
        <v>0.0</v>
      </c>
      <c r="AO38" s="31">
        <f>MIN(AO$5,U37+AE38)</f>
        <v>0.0</v>
      </c>
      <c r="AP38" s="31">
        <f>MIN(AP$5,V37+AF38)</f>
        <v>0.0</v>
      </c>
      <c r="AQ38" s="31">
        <f>MIN(AQ$5,W37+AG38)</f>
        <v>0.0</v>
      </c>
      <c r="AR38" s="31">
        <f>MIN(AR$5,X37+AH38)</f>
        <v>0.0</v>
      </c>
      <c r="AS38" s="31">
        <f>MIN(AS$5,Y37+AI38)</f>
        <v>0.0</v>
      </c>
      <c r="AT38" s="31">
        <f>MIN(AT$5,Z37+AJ38)</f>
        <v>0.0</v>
      </c>
      <c r="AU38" s="31">
        <f>MIN(AU$5,AA37+AK38)</f>
        <v>0.0</v>
      </c>
    </row>
    <row r="39">
      <c r="A39" s="25" t="str">
        <f>IF(F38&gt;0.005,34,"")</f>
        <v/>
      </c>
      <c r="B39" s="33" t="str">
        <f>IF(A39="","",EDATE(Долги!$D$5,33))</f>
        <v/>
      </c>
      <c r="C39" s="31">
        <f>SUM(H39:Q39)</f>
        <v>0.0</v>
      </c>
      <c r="D39" s="31">
        <f>SUM(AB39:AK39)</f>
        <v>0.0</v>
      </c>
      <c r="E39" s="31">
        <f>C39-D39</f>
        <v>0.0</v>
      </c>
      <c r="F39" s="31">
        <f>SUM(R39:AA39)</f>
        <v>0.0</v>
      </c>
      <c r="G39" s="34" t="str">
        <f>IF(OR(A39="",$F$5&lt;=0),"",REPT("█",ROUND(20*F39/$F$5,0)))</f>
        <v/>
      </c>
      <c r="H39" s="31">
        <f>AL39+MIN(R38+AB39-AL39,MAX(0,ROUND(Долги!$D$19-SUM($AL39:$AU39),2)))</f>
        <v>0.0</v>
      </c>
      <c r="I39" s="31">
        <f>AM39+MIN(S38+AC39-AM39,MAX(0,ROUND(ROUND(Долги!$D$19-SUM($AL39:$AU39),2)-(SUM($H39:H39)-SUM($AL39:AL39)),2)))</f>
        <v>0.0</v>
      </c>
      <c r="J39" s="31">
        <f>AN39+MIN(T38+AD39-AN39,MAX(0,ROUND(ROUND(Долги!$D$19-SUM($AL39:$AU39),2)-(SUM($H39:I39)-SUM($AL39:AM39)),2)))</f>
        <v>0.0</v>
      </c>
      <c r="K39" s="31">
        <f>AO39+MIN(U38+AE39-AO39,MAX(0,ROUND(ROUND(Долги!$D$19-SUM($AL39:$AU39),2)-(SUM($H39:J39)-SUM($AL39:AN39)),2)))</f>
        <v>0.0</v>
      </c>
      <c r="L39" s="31">
        <f>AP39+MIN(V38+AF39-AP39,MAX(0,ROUND(ROUND(Долги!$D$19-SUM($AL39:$AU39),2)-(SUM($H39:K39)-SUM($AL39:AO39)),2)))</f>
        <v>0.0</v>
      </c>
      <c r="M39" s="31">
        <f>AQ39+MIN(W38+AG39-AQ39,MAX(0,ROUND(ROUND(Долги!$D$19-SUM($AL39:$AU39),2)-(SUM($H39:L39)-SUM($AL39:AP39)),2)))</f>
        <v>0.0</v>
      </c>
      <c r="N39" s="31">
        <f>AR39+MIN(X38+AH39-AR39,MAX(0,ROUND(ROUND(Долги!$D$19-SUM($AL39:$AU39),2)-(SUM($H39:M39)-SUM($AL39:AQ39)),2)))</f>
        <v>0.0</v>
      </c>
      <c r="O39" s="31">
        <f>AS39+MIN(Y38+AI39-AS39,MAX(0,ROUND(ROUND(Долги!$D$19-SUM($AL39:$AU39),2)-(SUM($H39:N39)-SUM($AL39:AR39)),2)))</f>
        <v>0.0</v>
      </c>
      <c r="P39" s="31">
        <f>AT39+MIN(Z38+AJ39-AT39,MAX(0,ROUND(ROUND(Долги!$D$19-SUM($AL39:$AU39),2)-(SUM($H39:O39)-SUM($AL39:AS39)),2)))</f>
        <v>0.0</v>
      </c>
      <c r="Q39" s="31">
        <f>AU39+MIN(AA38+AK39-AU39,MAX(0,ROUND(ROUND(Долги!$D$19-SUM($AL39:$AU39),2)-(SUM($H39:P39)-SUM($AL39:AT39)),2)))</f>
        <v>0.0</v>
      </c>
      <c r="R39" s="31">
        <f>IF(R38+AB39-H39&lt;=0.01,0,ROUND(R38+AB39-H39,2))</f>
        <v>0.0</v>
      </c>
      <c r="S39" s="31">
        <f>IF(S38+AC39-I39&lt;=0.01,0,ROUND(S38+AC39-I39,2))</f>
        <v>0.0</v>
      </c>
      <c r="T39" s="31">
        <f>IF(T38+AD39-J39&lt;=0.01,0,ROUND(T38+AD39-J39,2))</f>
        <v>0.0</v>
      </c>
      <c r="U39" s="31">
        <f>IF(U38+AE39-K39&lt;=0.01,0,ROUND(U38+AE39-K39,2))</f>
        <v>0.0</v>
      </c>
      <c r="V39" s="31">
        <f>IF(V38+AF39-L39&lt;=0.01,0,ROUND(V38+AF39-L39,2))</f>
        <v>0.0</v>
      </c>
      <c r="W39" s="31">
        <f>IF(W38+AG39-M39&lt;=0.01,0,ROUND(W38+AG39-M39,2))</f>
        <v>0.0</v>
      </c>
      <c r="X39" s="31">
        <f>IF(X38+AH39-N39&lt;=0.01,0,ROUND(X38+AH39-N39,2))</f>
        <v>0.0</v>
      </c>
      <c r="Y39" s="31">
        <f>IF(Y38+AI39-O39&lt;=0.01,0,ROUND(Y38+AI39-O39,2))</f>
        <v>0.0</v>
      </c>
      <c r="Z39" s="31">
        <f>IF(Z38+AJ39-P39&lt;=0.01,0,ROUND(Z38+AJ39-P39,2))</f>
        <v>0.0</v>
      </c>
      <c r="AA39" s="31">
        <f>IF(AA38+AK39-Q39&lt;=0.01,0,ROUND(AA38+AK39-Q39,2))</f>
        <v>0.0</v>
      </c>
      <c r="AB39" s="31">
        <f>ROUND(R38*AB$5/1200,2)</f>
        <v>0.0</v>
      </c>
      <c r="AC39" s="31">
        <f>ROUND(S38*AC$5/1200,2)</f>
        <v>0.0</v>
      </c>
      <c r="AD39" s="31">
        <f>ROUND(T38*AD$5/1200,2)</f>
        <v>0.0</v>
      </c>
      <c r="AE39" s="31">
        <f>ROUND(U38*AE$5/1200,2)</f>
        <v>0.0</v>
      </c>
      <c r="AF39" s="31">
        <f>ROUND(V38*AF$5/1200,2)</f>
        <v>0.0</v>
      </c>
      <c r="AG39" s="31">
        <f>ROUND(W38*AG$5/1200,2)</f>
        <v>0.0</v>
      </c>
      <c r="AH39" s="31">
        <f>ROUND(X38*AH$5/1200,2)</f>
        <v>0.0</v>
      </c>
      <c r="AI39" s="31">
        <f>ROUND(Y38*AI$5/1200,2)</f>
        <v>0.0</v>
      </c>
      <c r="AJ39" s="31">
        <f>ROUND(Z38*AJ$5/1200,2)</f>
        <v>0.0</v>
      </c>
      <c r="AK39" s="31">
        <f>ROUND(AA38*AK$5/1200,2)</f>
        <v>0.0</v>
      </c>
      <c r="AL39" s="31">
        <f>MIN(AL$5,R38+AB39)</f>
        <v>0.0</v>
      </c>
      <c r="AM39" s="31">
        <f>MIN(AM$5,S38+AC39)</f>
        <v>0.0</v>
      </c>
      <c r="AN39" s="31">
        <f>MIN(AN$5,T38+AD39)</f>
        <v>0.0</v>
      </c>
      <c r="AO39" s="31">
        <f>MIN(AO$5,U38+AE39)</f>
        <v>0.0</v>
      </c>
      <c r="AP39" s="31">
        <f>MIN(AP$5,V38+AF39)</f>
        <v>0.0</v>
      </c>
      <c r="AQ39" s="31">
        <f>MIN(AQ$5,W38+AG39)</f>
        <v>0.0</v>
      </c>
      <c r="AR39" s="31">
        <f>MIN(AR$5,X38+AH39)</f>
        <v>0.0</v>
      </c>
      <c r="AS39" s="31">
        <f>MIN(AS$5,Y38+AI39)</f>
        <v>0.0</v>
      </c>
      <c r="AT39" s="31">
        <f>MIN(AT$5,Z38+AJ39)</f>
        <v>0.0</v>
      </c>
      <c r="AU39" s="31">
        <f>MIN(AU$5,AA38+AK39)</f>
        <v>0.0</v>
      </c>
    </row>
    <row r="40">
      <c r="A40" s="25" t="str">
        <f>IF(F39&gt;0.005,35,"")</f>
        <v/>
      </c>
      <c r="B40" s="33" t="str">
        <f>IF(A40="","",EDATE(Долги!$D$5,34))</f>
        <v/>
      </c>
      <c r="C40" s="31">
        <f>SUM(H40:Q40)</f>
        <v>0.0</v>
      </c>
      <c r="D40" s="31">
        <f>SUM(AB40:AK40)</f>
        <v>0.0</v>
      </c>
      <c r="E40" s="31">
        <f>C40-D40</f>
        <v>0.0</v>
      </c>
      <c r="F40" s="31">
        <f>SUM(R40:AA40)</f>
        <v>0.0</v>
      </c>
      <c r="G40" s="34" t="str">
        <f>IF(OR(A40="",$F$5&lt;=0),"",REPT("█",ROUND(20*F40/$F$5,0)))</f>
        <v/>
      </c>
      <c r="H40" s="31">
        <f>AL40+MIN(R39+AB40-AL40,MAX(0,ROUND(Долги!$D$19-SUM($AL40:$AU40),2)))</f>
        <v>0.0</v>
      </c>
      <c r="I40" s="31">
        <f>AM40+MIN(S39+AC40-AM40,MAX(0,ROUND(ROUND(Долги!$D$19-SUM($AL40:$AU40),2)-(SUM($H40:H40)-SUM($AL40:AL40)),2)))</f>
        <v>0.0</v>
      </c>
      <c r="J40" s="31">
        <f>AN40+MIN(T39+AD40-AN40,MAX(0,ROUND(ROUND(Долги!$D$19-SUM($AL40:$AU40),2)-(SUM($H40:I40)-SUM($AL40:AM40)),2)))</f>
        <v>0.0</v>
      </c>
      <c r="K40" s="31">
        <f>AO40+MIN(U39+AE40-AO40,MAX(0,ROUND(ROUND(Долги!$D$19-SUM($AL40:$AU40),2)-(SUM($H40:J40)-SUM($AL40:AN40)),2)))</f>
        <v>0.0</v>
      </c>
      <c r="L40" s="31">
        <f>AP40+MIN(V39+AF40-AP40,MAX(0,ROUND(ROUND(Долги!$D$19-SUM($AL40:$AU40),2)-(SUM($H40:K40)-SUM($AL40:AO40)),2)))</f>
        <v>0.0</v>
      </c>
      <c r="M40" s="31">
        <f>AQ40+MIN(W39+AG40-AQ40,MAX(0,ROUND(ROUND(Долги!$D$19-SUM($AL40:$AU40),2)-(SUM($H40:L40)-SUM($AL40:AP40)),2)))</f>
        <v>0.0</v>
      </c>
      <c r="N40" s="31">
        <f>AR40+MIN(X39+AH40-AR40,MAX(0,ROUND(ROUND(Долги!$D$19-SUM($AL40:$AU40),2)-(SUM($H40:M40)-SUM($AL40:AQ40)),2)))</f>
        <v>0.0</v>
      </c>
      <c r="O40" s="31">
        <f>AS40+MIN(Y39+AI40-AS40,MAX(0,ROUND(ROUND(Долги!$D$19-SUM($AL40:$AU40),2)-(SUM($H40:N40)-SUM($AL40:AR40)),2)))</f>
        <v>0.0</v>
      </c>
      <c r="P40" s="31">
        <f>AT40+MIN(Z39+AJ40-AT40,MAX(0,ROUND(ROUND(Долги!$D$19-SUM($AL40:$AU40),2)-(SUM($H40:O40)-SUM($AL40:AS40)),2)))</f>
        <v>0.0</v>
      </c>
      <c r="Q40" s="31">
        <f>AU40+MIN(AA39+AK40-AU40,MAX(0,ROUND(ROUND(Долги!$D$19-SUM($AL40:$AU40),2)-(SUM($H40:P40)-SUM($AL40:AT40)),2)))</f>
        <v>0.0</v>
      </c>
      <c r="R40" s="31">
        <f>IF(R39+AB40-H40&lt;=0.01,0,ROUND(R39+AB40-H40,2))</f>
        <v>0.0</v>
      </c>
      <c r="S40" s="31">
        <f>IF(S39+AC40-I40&lt;=0.01,0,ROUND(S39+AC40-I40,2))</f>
        <v>0.0</v>
      </c>
      <c r="T40" s="31">
        <f>IF(T39+AD40-J40&lt;=0.01,0,ROUND(T39+AD40-J40,2))</f>
        <v>0.0</v>
      </c>
      <c r="U40" s="31">
        <f>IF(U39+AE40-K40&lt;=0.01,0,ROUND(U39+AE40-K40,2))</f>
        <v>0.0</v>
      </c>
      <c r="V40" s="31">
        <f>IF(V39+AF40-L40&lt;=0.01,0,ROUND(V39+AF40-L40,2))</f>
        <v>0.0</v>
      </c>
      <c r="W40" s="31">
        <f>IF(W39+AG40-M40&lt;=0.01,0,ROUND(W39+AG40-M40,2))</f>
        <v>0.0</v>
      </c>
      <c r="X40" s="31">
        <f>IF(X39+AH40-N40&lt;=0.01,0,ROUND(X39+AH40-N40,2))</f>
        <v>0.0</v>
      </c>
      <c r="Y40" s="31">
        <f>IF(Y39+AI40-O40&lt;=0.01,0,ROUND(Y39+AI40-O40,2))</f>
        <v>0.0</v>
      </c>
      <c r="Z40" s="31">
        <f>IF(Z39+AJ40-P40&lt;=0.01,0,ROUND(Z39+AJ40-P40,2))</f>
        <v>0.0</v>
      </c>
      <c r="AA40" s="31">
        <f>IF(AA39+AK40-Q40&lt;=0.01,0,ROUND(AA39+AK40-Q40,2))</f>
        <v>0.0</v>
      </c>
      <c r="AB40" s="31">
        <f>ROUND(R39*AB$5/1200,2)</f>
        <v>0.0</v>
      </c>
      <c r="AC40" s="31">
        <f>ROUND(S39*AC$5/1200,2)</f>
        <v>0.0</v>
      </c>
      <c r="AD40" s="31">
        <f>ROUND(T39*AD$5/1200,2)</f>
        <v>0.0</v>
      </c>
      <c r="AE40" s="31">
        <f>ROUND(U39*AE$5/1200,2)</f>
        <v>0.0</v>
      </c>
      <c r="AF40" s="31">
        <f>ROUND(V39*AF$5/1200,2)</f>
        <v>0.0</v>
      </c>
      <c r="AG40" s="31">
        <f>ROUND(W39*AG$5/1200,2)</f>
        <v>0.0</v>
      </c>
      <c r="AH40" s="31">
        <f>ROUND(X39*AH$5/1200,2)</f>
        <v>0.0</v>
      </c>
      <c r="AI40" s="31">
        <f>ROUND(Y39*AI$5/1200,2)</f>
        <v>0.0</v>
      </c>
      <c r="AJ40" s="31">
        <f>ROUND(Z39*AJ$5/1200,2)</f>
        <v>0.0</v>
      </c>
      <c r="AK40" s="31">
        <f>ROUND(AA39*AK$5/1200,2)</f>
        <v>0.0</v>
      </c>
      <c r="AL40" s="31">
        <f>MIN(AL$5,R39+AB40)</f>
        <v>0.0</v>
      </c>
      <c r="AM40" s="31">
        <f>MIN(AM$5,S39+AC40)</f>
        <v>0.0</v>
      </c>
      <c r="AN40" s="31">
        <f>MIN(AN$5,T39+AD40)</f>
        <v>0.0</v>
      </c>
      <c r="AO40" s="31">
        <f>MIN(AO$5,U39+AE40)</f>
        <v>0.0</v>
      </c>
      <c r="AP40" s="31">
        <f>MIN(AP$5,V39+AF40)</f>
        <v>0.0</v>
      </c>
      <c r="AQ40" s="31">
        <f>MIN(AQ$5,W39+AG40)</f>
        <v>0.0</v>
      </c>
      <c r="AR40" s="31">
        <f>MIN(AR$5,X39+AH40)</f>
        <v>0.0</v>
      </c>
      <c r="AS40" s="31">
        <f>MIN(AS$5,Y39+AI40)</f>
        <v>0.0</v>
      </c>
      <c r="AT40" s="31">
        <f>MIN(AT$5,Z39+AJ40)</f>
        <v>0.0</v>
      </c>
      <c r="AU40" s="31">
        <f>MIN(AU$5,AA39+AK40)</f>
        <v>0.0</v>
      </c>
    </row>
    <row r="41">
      <c r="A41" s="25" t="str">
        <f>IF(F40&gt;0.005,36,"")</f>
        <v/>
      </c>
      <c r="B41" s="33" t="str">
        <f>IF(A41="","",EDATE(Долги!$D$5,35))</f>
        <v/>
      </c>
      <c r="C41" s="31">
        <f>SUM(H41:Q41)</f>
        <v>0.0</v>
      </c>
      <c r="D41" s="31">
        <f>SUM(AB41:AK41)</f>
        <v>0.0</v>
      </c>
      <c r="E41" s="31">
        <f>C41-D41</f>
        <v>0.0</v>
      </c>
      <c r="F41" s="31">
        <f>SUM(R41:AA41)</f>
        <v>0.0</v>
      </c>
      <c r="G41" s="34" t="str">
        <f>IF(OR(A41="",$F$5&lt;=0),"",REPT("█",ROUND(20*F41/$F$5,0)))</f>
        <v/>
      </c>
      <c r="H41" s="31">
        <f>AL41+MIN(R40+AB41-AL41,MAX(0,ROUND(Долги!$D$19-SUM($AL41:$AU41),2)))</f>
        <v>0.0</v>
      </c>
      <c r="I41" s="31">
        <f>AM41+MIN(S40+AC41-AM41,MAX(0,ROUND(ROUND(Долги!$D$19-SUM($AL41:$AU41),2)-(SUM($H41:H41)-SUM($AL41:AL41)),2)))</f>
        <v>0.0</v>
      </c>
      <c r="J41" s="31">
        <f>AN41+MIN(T40+AD41-AN41,MAX(0,ROUND(ROUND(Долги!$D$19-SUM($AL41:$AU41),2)-(SUM($H41:I41)-SUM($AL41:AM41)),2)))</f>
        <v>0.0</v>
      </c>
      <c r="K41" s="31">
        <f>AO41+MIN(U40+AE41-AO41,MAX(0,ROUND(ROUND(Долги!$D$19-SUM($AL41:$AU41),2)-(SUM($H41:J41)-SUM($AL41:AN41)),2)))</f>
        <v>0.0</v>
      </c>
      <c r="L41" s="31">
        <f>AP41+MIN(V40+AF41-AP41,MAX(0,ROUND(ROUND(Долги!$D$19-SUM($AL41:$AU41),2)-(SUM($H41:K41)-SUM($AL41:AO41)),2)))</f>
        <v>0.0</v>
      </c>
      <c r="M41" s="31">
        <f>AQ41+MIN(W40+AG41-AQ41,MAX(0,ROUND(ROUND(Долги!$D$19-SUM($AL41:$AU41),2)-(SUM($H41:L41)-SUM($AL41:AP41)),2)))</f>
        <v>0.0</v>
      </c>
      <c r="N41" s="31">
        <f>AR41+MIN(X40+AH41-AR41,MAX(0,ROUND(ROUND(Долги!$D$19-SUM($AL41:$AU41),2)-(SUM($H41:M41)-SUM($AL41:AQ41)),2)))</f>
        <v>0.0</v>
      </c>
      <c r="O41" s="31">
        <f>AS41+MIN(Y40+AI41-AS41,MAX(0,ROUND(ROUND(Долги!$D$19-SUM($AL41:$AU41),2)-(SUM($H41:N41)-SUM($AL41:AR41)),2)))</f>
        <v>0.0</v>
      </c>
      <c r="P41" s="31">
        <f>AT41+MIN(Z40+AJ41-AT41,MAX(0,ROUND(ROUND(Долги!$D$19-SUM($AL41:$AU41),2)-(SUM($H41:O41)-SUM($AL41:AS41)),2)))</f>
        <v>0.0</v>
      </c>
      <c r="Q41" s="31">
        <f>AU41+MIN(AA40+AK41-AU41,MAX(0,ROUND(ROUND(Долги!$D$19-SUM($AL41:$AU41),2)-(SUM($H41:P41)-SUM($AL41:AT41)),2)))</f>
        <v>0.0</v>
      </c>
      <c r="R41" s="31">
        <f>IF(R40+AB41-H41&lt;=0.01,0,ROUND(R40+AB41-H41,2))</f>
        <v>0.0</v>
      </c>
      <c r="S41" s="31">
        <f>IF(S40+AC41-I41&lt;=0.01,0,ROUND(S40+AC41-I41,2))</f>
        <v>0.0</v>
      </c>
      <c r="T41" s="31">
        <f>IF(T40+AD41-J41&lt;=0.01,0,ROUND(T40+AD41-J41,2))</f>
        <v>0.0</v>
      </c>
      <c r="U41" s="31">
        <f>IF(U40+AE41-K41&lt;=0.01,0,ROUND(U40+AE41-K41,2))</f>
        <v>0.0</v>
      </c>
      <c r="V41" s="31">
        <f>IF(V40+AF41-L41&lt;=0.01,0,ROUND(V40+AF41-L41,2))</f>
        <v>0.0</v>
      </c>
      <c r="W41" s="31">
        <f>IF(W40+AG41-M41&lt;=0.01,0,ROUND(W40+AG41-M41,2))</f>
        <v>0.0</v>
      </c>
      <c r="X41" s="31">
        <f>IF(X40+AH41-N41&lt;=0.01,0,ROUND(X40+AH41-N41,2))</f>
        <v>0.0</v>
      </c>
      <c r="Y41" s="31">
        <f>IF(Y40+AI41-O41&lt;=0.01,0,ROUND(Y40+AI41-O41,2))</f>
        <v>0.0</v>
      </c>
      <c r="Z41" s="31">
        <f>IF(Z40+AJ41-P41&lt;=0.01,0,ROUND(Z40+AJ41-P41,2))</f>
        <v>0.0</v>
      </c>
      <c r="AA41" s="31">
        <f>IF(AA40+AK41-Q41&lt;=0.01,0,ROUND(AA40+AK41-Q41,2))</f>
        <v>0.0</v>
      </c>
      <c r="AB41" s="31">
        <f>ROUND(R40*AB$5/1200,2)</f>
        <v>0.0</v>
      </c>
      <c r="AC41" s="31">
        <f>ROUND(S40*AC$5/1200,2)</f>
        <v>0.0</v>
      </c>
      <c r="AD41" s="31">
        <f>ROUND(T40*AD$5/1200,2)</f>
        <v>0.0</v>
      </c>
      <c r="AE41" s="31">
        <f>ROUND(U40*AE$5/1200,2)</f>
        <v>0.0</v>
      </c>
      <c r="AF41" s="31">
        <f>ROUND(V40*AF$5/1200,2)</f>
        <v>0.0</v>
      </c>
      <c r="AG41" s="31">
        <f>ROUND(W40*AG$5/1200,2)</f>
        <v>0.0</v>
      </c>
      <c r="AH41" s="31">
        <f>ROUND(X40*AH$5/1200,2)</f>
        <v>0.0</v>
      </c>
      <c r="AI41" s="31">
        <f>ROUND(Y40*AI$5/1200,2)</f>
        <v>0.0</v>
      </c>
      <c r="AJ41" s="31">
        <f>ROUND(Z40*AJ$5/1200,2)</f>
        <v>0.0</v>
      </c>
      <c r="AK41" s="31">
        <f>ROUND(AA40*AK$5/1200,2)</f>
        <v>0.0</v>
      </c>
      <c r="AL41" s="31">
        <f>MIN(AL$5,R40+AB41)</f>
        <v>0.0</v>
      </c>
      <c r="AM41" s="31">
        <f>MIN(AM$5,S40+AC41)</f>
        <v>0.0</v>
      </c>
      <c r="AN41" s="31">
        <f>MIN(AN$5,T40+AD41)</f>
        <v>0.0</v>
      </c>
      <c r="AO41" s="31">
        <f>MIN(AO$5,U40+AE41)</f>
        <v>0.0</v>
      </c>
      <c r="AP41" s="31">
        <f>MIN(AP$5,V40+AF41)</f>
        <v>0.0</v>
      </c>
      <c r="AQ41" s="31">
        <f>MIN(AQ$5,W40+AG41)</f>
        <v>0.0</v>
      </c>
      <c r="AR41" s="31">
        <f>MIN(AR$5,X40+AH41)</f>
        <v>0.0</v>
      </c>
      <c r="AS41" s="31">
        <f>MIN(AS$5,Y40+AI41)</f>
        <v>0.0</v>
      </c>
      <c r="AT41" s="31">
        <f>MIN(AT$5,Z40+AJ41)</f>
        <v>0.0</v>
      </c>
      <c r="AU41" s="31">
        <f>MIN(AU$5,AA40+AK41)</f>
        <v>0.0</v>
      </c>
    </row>
    <row r="42">
      <c r="A42" s="25" t="str">
        <f>IF(F41&gt;0.005,37,"")</f>
        <v/>
      </c>
      <c r="B42" s="33" t="str">
        <f>IF(A42="","",EDATE(Долги!$D$5,36))</f>
        <v/>
      </c>
      <c r="C42" s="31">
        <f>SUM(H42:Q42)</f>
        <v>0.0</v>
      </c>
      <c r="D42" s="31">
        <f>SUM(AB42:AK42)</f>
        <v>0.0</v>
      </c>
      <c r="E42" s="31">
        <f>C42-D42</f>
        <v>0.0</v>
      </c>
      <c r="F42" s="31">
        <f>SUM(R42:AA42)</f>
        <v>0.0</v>
      </c>
      <c r="G42" s="34" t="str">
        <f>IF(OR(A42="",$F$5&lt;=0),"",REPT("█",ROUND(20*F42/$F$5,0)))</f>
        <v/>
      </c>
      <c r="H42" s="31">
        <f>AL42+MIN(R41+AB42-AL42,MAX(0,ROUND(Долги!$D$19-SUM($AL42:$AU42),2)))</f>
        <v>0.0</v>
      </c>
      <c r="I42" s="31">
        <f>AM42+MIN(S41+AC42-AM42,MAX(0,ROUND(ROUND(Долги!$D$19-SUM($AL42:$AU42),2)-(SUM($H42:H42)-SUM($AL42:AL42)),2)))</f>
        <v>0.0</v>
      </c>
      <c r="J42" s="31">
        <f>AN42+MIN(T41+AD42-AN42,MAX(0,ROUND(ROUND(Долги!$D$19-SUM($AL42:$AU42),2)-(SUM($H42:I42)-SUM($AL42:AM42)),2)))</f>
        <v>0.0</v>
      </c>
      <c r="K42" s="31">
        <f>AO42+MIN(U41+AE42-AO42,MAX(0,ROUND(ROUND(Долги!$D$19-SUM($AL42:$AU42),2)-(SUM($H42:J42)-SUM($AL42:AN42)),2)))</f>
        <v>0.0</v>
      </c>
      <c r="L42" s="31">
        <f>AP42+MIN(V41+AF42-AP42,MAX(0,ROUND(ROUND(Долги!$D$19-SUM($AL42:$AU42),2)-(SUM($H42:K42)-SUM($AL42:AO42)),2)))</f>
        <v>0.0</v>
      </c>
      <c r="M42" s="31">
        <f>AQ42+MIN(W41+AG42-AQ42,MAX(0,ROUND(ROUND(Долги!$D$19-SUM($AL42:$AU42),2)-(SUM($H42:L42)-SUM($AL42:AP42)),2)))</f>
        <v>0.0</v>
      </c>
      <c r="N42" s="31">
        <f>AR42+MIN(X41+AH42-AR42,MAX(0,ROUND(ROUND(Долги!$D$19-SUM($AL42:$AU42),2)-(SUM($H42:M42)-SUM($AL42:AQ42)),2)))</f>
        <v>0.0</v>
      </c>
      <c r="O42" s="31">
        <f>AS42+MIN(Y41+AI42-AS42,MAX(0,ROUND(ROUND(Долги!$D$19-SUM($AL42:$AU42),2)-(SUM($H42:N42)-SUM($AL42:AR42)),2)))</f>
        <v>0.0</v>
      </c>
      <c r="P42" s="31">
        <f>AT42+MIN(Z41+AJ42-AT42,MAX(0,ROUND(ROUND(Долги!$D$19-SUM($AL42:$AU42),2)-(SUM($H42:O42)-SUM($AL42:AS42)),2)))</f>
        <v>0.0</v>
      </c>
      <c r="Q42" s="31">
        <f>AU42+MIN(AA41+AK42-AU42,MAX(0,ROUND(ROUND(Долги!$D$19-SUM($AL42:$AU42),2)-(SUM($H42:P42)-SUM($AL42:AT42)),2)))</f>
        <v>0.0</v>
      </c>
      <c r="R42" s="31">
        <f>IF(R41+AB42-H42&lt;=0.01,0,ROUND(R41+AB42-H42,2))</f>
        <v>0.0</v>
      </c>
      <c r="S42" s="31">
        <f>IF(S41+AC42-I42&lt;=0.01,0,ROUND(S41+AC42-I42,2))</f>
        <v>0.0</v>
      </c>
      <c r="T42" s="31">
        <f>IF(T41+AD42-J42&lt;=0.01,0,ROUND(T41+AD42-J42,2))</f>
        <v>0.0</v>
      </c>
      <c r="U42" s="31">
        <f>IF(U41+AE42-K42&lt;=0.01,0,ROUND(U41+AE42-K42,2))</f>
        <v>0.0</v>
      </c>
      <c r="V42" s="31">
        <f>IF(V41+AF42-L42&lt;=0.01,0,ROUND(V41+AF42-L42,2))</f>
        <v>0.0</v>
      </c>
      <c r="W42" s="31">
        <f>IF(W41+AG42-M42&lt;=0.01,0,ROUND(W41+AG42-M42,2))</f>
        <v>0.0</v>
      </c>
      <c r="X42" s="31">
        <f>IF(X41+AH42-N42&lt;=0.01,0,ROUND(X41+AH42-N42,2))</f>
        <v>0.0</v>
      </c>
      <c r="Y42" s="31">
        <f>IF(Y41+AI42-O42&lt;=0.01,0,ROUND(Y41+AI42-O42,2))</f>
        <v>0.0</v>
      </c>
      <c r="Z42" s="31">
        <f>IF(Z41+AJ42-P42&lt;=0.01,0,ROUND(Z41+AJ42-P42,2))</f>
        <v>0.0</v>
      </c>
      <c r="AA42" s="31">
        <f>IF(AA41+AK42-Q42&lt;=0.01,0,ROUND(AA41+AK42-Q42,2))</f>
        <v>0.0</v>
      </c>
      <c r="AB42" s="31">
        <f>ROUND(R41*AB$5/1200,2)</f>
        <v>0.0</v>
      </c>
      <c r="AC42" s="31">
        <f>ROUND(S41*AC$5/1200,2)</f>
        <v>0.0</v>
      </c>
      <c r="AD42" s="31">
        <f>ROUND(T41*AD$5/1200,2)</f>
        <v>0.0</v>
      </c>
      <c r="AE42" s="31">
        <f>ROUND(U41*AE$5/1200,2)</f>
        <v>0.0</v>
      </c>
      <c r="AF42" s="31">
        <f>ROUND(V41*AF$5/1200,2)</f>
        <v>0.0</v>
      </c>
      <c r="AG42" s="31">
        <f>ROUND(W41*AG$5/1200,2)</f>
        <v>0.0</v>
      </c>
      <c r="AH42" s="31">
        <f>ROUND(X41*AH$5/1200,2)</f>
        <v>0.0</v>
      </c>
      <c r="AI42" s="31">
        <f>ROUND(Y41*AI$5/1200,2)</f>
        <v>0.0</v>
      </c>
      <c r="AJ42" s="31">
        <f>ROUND(Z41*AJ$5/1200,2)</f>
        <v>0.0</v>
      </c>
      <c r="AK42" s="31">
        <f>ROUND(AA41*AK$5/1200,2)</f>
        <v>0.0</v>
      </c>
      <c r="AL42" s="31">
        <f>MIN(AL$5,R41+AB42)</f>
        <v>0.0</v>
      </c>
      <c r="AM42" s="31">
        <f>MIN(AM$5,S41+AC42)</f>
        <v>0.0</v>
      </c>
      <c r="AN42" s="31">
        <f>MIN(AN$5,T41+AD42)</f>
        <v>0.0</v>
      </c>
      <c r="AO42" s="31">
        <f>MIN(AO$5,U41+AE42)</f>
        <v>0.0</v>
      </c>
      <c r="AP42" s="31">
        <f>MIN(AP$5,V41+AF42)</f>
        <v>0.0</v>
      </c>
      <c r="AQ42" s="31">
        <f>MIN(AQ$5,W41+AG42)</f>
        <v>0.0</v>
      </c>
      <c r="AR42" s="31">
        <f>MIN(AR$5,X41+AH42)</f>
        <v>0.0</v>
      </c>
      <c r="AS42" s="31">
        <f>MIN(AS$5,Y41+AI42)</f>
        <v>0.0</v>
      </c>
      <c r="AT42" s="31">
        <f>MIN(AT$5,Z41+AJ42)</f>
        <v>0.0</v>
      </c>
      <c r="AU42" s="31">
        <f>MIN(AU$5,AA41+AK42)</f>
        <v>0.0</v>
      </c>
    </row>
    <row r="43">
      <c r="A43" s="25" t="str">
        <f>IF(F42&gt;0.005,38,"")</f>
        <v/>
      </c>
      <c r="B43" s="33" t="str">
        <f>IF(A43="","",EDATE(Долги!$D$5,37))</f>
        <v/>
      </c>
      <c r="C43" s="31">
        <f>SUM(H43:Q43)</f>
        <v>0.0</v>
      </c>
      <c r="D43" s="31">
        <f>SUM(AB43:AK43)</f>
        <v>0.0</v>
      </c>
      <c r="E43" s="31">
        <f>C43-D43</f>
        <v>0.0</v>
      </c>
      <c r="F43" s="31">
        <f>SUM(R43:AA43)</f>
        <v>0.0</v>
      </c>
      <c r="G43" s="34" t="str">
        <f>IF(OR(A43="",$F$5&lt;=0),"",REPT("█",ROUND(20*F43/$F$5,0)))</f>
        <v/>
      </c>
      <c r="H43" s="31">
        <f>AL43+MIN(R42+AB43-AL43,MAX(0,ROUND(Долги!$D$19-SUM($AL43:$AU43),2)))</f>
        <v>0.0</v>
      </c>
      <c r="I43" s="31">
        <f>AM43+MIN(S42+AC43-AM43,MAX(0,ROUND(ROUND(Долги!$D$19-SUM($AL43:$AU43),2)-(SUM($H43:H43)-SUM($AL43:AL43)),2)))</f>
        <v>0.0</v>
      </c>
      <c r="J43" s="31">
        <f>AN43+MIN(T42+AD43-AN43,MAX(0,ROUND(ROUND(Долги!$D$19-SUM($AL43:$AU43),2)-(SUM($H43:I43)-SUM($AL43:AM43)),2)))</f>
        <v>0.0</v>
      </c>
      <c r="K43" s="31">
        <f>AO43+MIN(U42+AE43-AO43,MAX(0,ROUND(ROUND(Долги!$D$19-SUM($AL43:$AU43),2)-(SUM($H43:J43)-SUM($AL43:AN43)),2)))</f>
        <v>0.0</v>
      </c>
      <c r="L43" s="31">
        <f>AP43+MIN(V42+AF43-AP43,MAX(0,ROUND(ROUND(Долги!$D$19-SUM($AL43:$AU43),2)-(SUM($H43:K43)-SUM($AL43:AO43)),2)))</f>
        <v>0.0</v>
      </c>
      <c r="M43" s="31">
        <f>AQ43+MIN(W42+AG43-AQ43,MAX(0,ROUND(ROUND(Долги!$D$19-SUM($AL43:$AU43),2)-(SUM($H43:L43)-SUM($AL43:AP43)),2)))</f>
        <v>0.0</v>
      </c>
      <c r="N43" s="31">
        <f>AR43+MIN(X42+AH43-AR43,MAX(0,ROUND(ROUND(Долги!$D$19-SUM($AL43:$AU43),2)-(SUM($H43:M43)-SUM($AL43:AQ43)),2)))</f>
        <v>0.0</v>
      </c>
      <c r="O43" s="31">
        <f>AS43+MIN(Y42+AI43-AS43,MAX(0,ROUND(ROUND(Долги!$D$19-SUM($AL43:$AU43),2)-(SUM($H43:N43)-SUM($AL43:AR43)),2)))</f>
        <v>0.0</v>
      </c>
      <c r="P43" s="31">
        <f>AT43+MIN(Z42+AJ43-AT43,MAX(0,ROUND(ROUND(Долги!$D$19-SUM($AL43:$AU43),2)-(SUM($H43:O43)-SUM($AL43:AS43)),2)))</f>
        <v>0.0</v>
      </c>
      <c r="Q43" s="31">
        <f>AU43+MIN(AA42+AK43-AU43,MAX(0,ROUND(ROUND(Долги!$D$19-SUM($AL43:$AU43),2)-(SUM($H43:P43)-SUM($AL43:AT43)),2)))</f>
        <v>0.0</v>
      </c>
      <c r="R43" s="31">
        <f>IF(R42+AB43-H43&lt;=0.01,0,ROUND(R42+AB43-H43,2))</f>
        <v>0.0</v>
      </c>
      <c r="S43" s="31">
        <f>IF(S42+AC43-I43&lt;=0.01,0,ROUND(S42+AC43-I43,2))</f>
        <v>0.0</v>
      </c>
      <c r="T43" s="31">
        <f>IF(T42+AD43-J43&lt;=0.01,0,ROUND(T42+AD43-J43,2))</f>
        <v>0.0</v>
      </c>
      <c r="U43" s="31">
        <f>IF(U42+AE43-K43&lt;=0.01,0,ROUND(U42+AE43-K43,2))</f>
        <v>0.0</v>
      </c>
      <c r="V43" s="31">
        <f>IF(V42+AF43-L43&lt;=0.01,0,ROUND(V42+AF43-L43,2))</f>
        <v>0.0</v>
      </c>
      <c r="W43" s="31">
        <f>IF(W42+AG43-M43&lt;=0.01,0,ROUND(W42+AG43-M43,2))</f>
        <v>0.0</v>
      </c>
      <c r="X43" s="31">
        <f>IF(X42+AH43-N43&lt;=0.01,0,ROUND(X42+AH43-N43,2))</f>
        <v>0.0</v>
      </c>
      <c r="Y43" s="31">
        <f>IF(Y42+AI43-O43&lt;=0.01,0,ROUND(Y42+AI43-O43,2))</f>
        <v>0.0</v>
      </c>
      <c r="Z43" s="31">
        <f>IF(Z42+AJ43-P43&lt;=0.01,0,ROUND(Z42+AJ43-P43,2))</f>
        <v>0.0</v>
      </c>
      <c r="AA43" s="31">
        <f>IF(AA42+AK43-Q43&lt;=0.01,0,ROUND(AA42+AK43-Q43,2))</f>
        <v>0.0</v>
      </c>
      <c r="AB43" s="31">
        <f>ROUND(R42*AB$5/1200,2)</f>
        <v>0.0</v>
      </c>
      <c r="AC43" s="31">
        <f>ROUND(S42*AC$5/1200,2)</f>
        <v>0.0</v>
      </c>
      <c r="AD43" s="31">
        <f>ROUND(T42*AD$5/1200,2)</f>
        <v>0.0</v>
      </c>
      <c r="AE43" s="31">
        <f>ROUND(U42*AE$5/1200,2)</f>
        <v>0.0</v>
      </c>
      <c r="AF43" s="31">
        <f>ROUND(V42*AF$5/1200,2)</f>
        <v>0.0</v>
      </c>
      <c r="AG43" s="31">
        <f>ROUND(W42*AG$5/1200,2)</f>
        <v>0.0</v>
      </c>
      <c r="AH43" s="31">
        <f>ROUND(X42*AH$5/1200,2)</f>
        <v>0.0</v>
      </c>
      <c r="AI43" s="31">
        <f>ROUND(Y42*AI$5/1200,2)</f>
        <v>0.0</v>
      </c>
      <c r="AJ43" s="31">
        <f>ROUND(Z42*AJ$5/1200,2)</f>
        <v>0.0</v>
      </c>
      <c r="AK43" s="31">
        <f>ROUND(AA42*AK$5/1200,2)</f>
        <v>0.0</v>
      </c>
      <c r="AL43" s="31">
        <f>MIN(AL$5,R42+AB43)</f>
        <v>0.0</v>
      </c>
      <c r="AM43" s="31">
        <f>MIN(AM$5,S42+AC43)</f>
        <v>0.0</v>
      </c>
      <c r="AN43" s="31">
        <f>MIN(AN$5,T42+AD43)</f>
        <v>0.0</v>
      </c>
      <c r="AO43" s="31">
        <f>MIN(AO$5,U42+AE43)</f>
        <v>0.0</v>
      </c>
      <c r="AP43" s="31">
        <f>MIN(AP$5,V42+AF43)</f>
        <v>0.0</v>
      </c>
      <c r="AQ43" s="31">
        <f>MIN(AQ$5,W42+AG43)</f>
        <v>0.0</v>
      </c>
      <c r="AR43" s="31">
        <f>MIN(AR$5,X42+AH43)</f>
        <v>0.0</v>
      </c>
      <c r="AS43" s="31">
        <f>MIN(AS$5,Y42+AI43)</f>
        <v>0.0</v>
      </c>
      <c r="AT43" s="31">
        <f>MIN(AT$5,Z42+AJ43)</f>
        <v>0.0</v>
      </c>
      <c r="AU43" s="31">
        <f>MIN(AU$5,AA42+AK43)</f>
        <v>0.0</v>
      </c>
    </row>
    <row r="44">
      <c r="A44" s="25" t="str">
        <f>IF(F43&gt;0.005,39,"")</f>
        <v/>
      </c>
      <c r="B44" s="33" t="str">
        <f>IF(A44="","",EDATE(Долги!$D$5,38))</f>
        <v/>
      </c>
      <c r="C44" s="31">
        <f>SUM(H44:Q44)</f>
        <v>0.0</v>
      </c>
      <c r="D44" s="31">
        <f>SUM(AB44:AK44)</f>
        <v>0.0</v>
      </c>
      <c r="E44" s="31">
        <f>C44-D44</f>
        <v>0.0</v>
      </c>
      <c r="F44" s="31">
        <f>SUM(R44:AA44)</f>
        <v>0.0</v>
      </c>
      <c r="G44" s="34" t="str">
        <f>IF(OR(A44="",$F$5&lt;=0),"",REPT("█",ROUND(20*F44/$F$5,0)))</f>
        <v/>
      </c>
      <c r="H44" s="31">
        <f>AL44+MIN(R43+AB44-AL44,MAX(0,ROUND(Долги!$D$19-SUM($AL44:$AU44),2)))</f>
        <v>0.0</v>
      </c>
      <c r="I44" s="31">
        <f>AM44+MIN(S43+AC44-AM44,MAX(0,ROUND(ROUND(Долги!$D$19-SUM($AL44:$AU44),2)-(SUM($H44:H44)-SUM($AL44:AL44)),2)))</f>
        <v>0.0</v>
      </c>
      <c r="J44" s="31">
        <f>AN44+MIN(T43+AD44-AN44,MAX(0,ROUND(ROUND(Долги!$D$19-SUM($AL44:$AU44),2)-(SUM($H44:I44)-SUM($AL44:AM44)),2)))</f>
        <v>0.0</v>
      </c>
      <c r="K44" s="31">
        <f>AO44+MIN(U43+AE44-AO44,MAX(0,ROUND(ROUND(Долги!$D$19-SUM($AL44:$AU44),2)-(SUM($H44:J44)-SUM($AL44:AN44)),2)))</f>
        <v>0.0</v>
      </c>
      <c r="L44" s="31">
        <f>AP44+MIN(V43+AF44-AP44,MAX(0,ROUND(ROUND(Долги!$D$19-SUM($AL44:$AU44),2)-(SUM($H44:K44)-SUM($AL44:AO44)),2)))</f>
        <v>0.0</v>
      </c>
      <c r="M44" s="31">
        <f>AQ44+MIN(W43+AG44-AQ44,MAX(0,ROUND(ROUND(Долги!$D$19-SUM($AL44:$AU44),2)-(SUM($H44:L44)-SUM($AL44:AP44)),2)))</f>
        <v>0.0</v>
      </c>
      <c r="N44" s="31">
        <f>AR44+MIN(X43+AH44-AR44,MAX(0,ROUND(ROUND(Долги!$D$19-SUM($AL44:$AU44),2)-(SUM($H44:M44)-SUM($AL44:AQ44)),2)))</f>
        <v>0.0</v>
      </c>
      <c r="O44" s="31">
        <f>AS44+MIN(Y43+AI44-AS44,MAX(0,ROUND(ROUND(Долги!$D$19-SUM($AL44:$AU44),2)-(SUM($H44:N44)-SUM($AL44:AR44)),2)))</f>
        <v>0.0</v>
      </c>
      <c r="P44" s="31">
        <f>AT44+MIN(Z43+AJ44-AT44,MAX(0,ROUND(ROUND(Долги!$D$19-SUM($AL44:$AU44),2)-(SUM($H44:O44)-SUM($AL44:AS44)),2)))</f>
        <v>0.0</v>
      </c>
      <c r="Q44" s="31">
        <f>AU44+MIN(AA43+AK44-AU44,MAX(0,ROUND(ROUND(Долги!$D$19-SUM($AL44:$AU44),2)-(SUM($H44:P44)-SUM($AL44:AT44)),2)))</f>
        <v>0.0</v>
      </c>
      <c r="R44" s="31">
        <f>IF(R43+AB44-H44&lt;=0.01,0,ROUND(R43+AB44-H44,2))</f>
        <v>0.0</v>
      </c>
      <c r="S44" s="31">
        <f>IF(S43+AC44-I44&lt;=0.01,0,ROUND(S43+AC44-I44,2))</f>
        <v>0.0</v>
      </c>
      <c r="T44" s="31">
        <f>IF(T43+AD44-J44&lt;=0.01,0,ROUND(T43+AD44-J44,2))</f>
        <v>0.0</v>
      </c>
      <c r="U44" s="31">
        <f>IF(U43+AE44-K44&lt;=0.01,0,ROUND(U43+AE44-K44,2))</f>
        <v>0.0</v>
      </c>
      <c r="V44" s="31">
        <f>IF(V43+AF44-L44&lt;=0.01,0,ROUND(V43+AF44-L44,2))</f>
        <v>0.0</v>
      </c>
      <c r="W44" s="31">
        <f>IF(W43+AG44-M44&lt;=0.01,0,ROUND(W43+AG44-M44,2))</f>
        <v>0.0</v>
      </c>
      <c r="X44" s="31">
        <f>IF(X43+AH44-N44&lt;=0.01,0,ROUND(X43+AH44-N44,2))</f>
        <v>0.0</v>
      </c>
      <c r="Y44" s="31">
        <f>IF(Y43+AI44-O44&lt;=0.01,0,ROUND(Y43+AI44-O44,2))</f>
        <v>0.0</v>
      </c>
      <c r="Z44" s="31">
        <f>IF(Z43+AJ44-P44&lt;=0.01,0,ROUND(Z43+AJ44-P44,2))</f>
        <v>0.0</v>
      </c>
      <c r="AA44" s="31">
        <f>IF(AA43+AK44-Q44&lt;=0.01,0,ROUND(AA43+AK44-Q44,2))</f>
        <v>0.0</v>
      </c>
      <c r="AB44" s="31">
        <f>ROUND(R43*AB$5/1200,2)</f>
        <v>0.0</v>
      </c>
      <c r="AC44" s="31">
        <f>ROUND(S43*AC$5/1200,2)</f>
        <v>0.0</v>
      </c>
      <c r="AD44" s="31">
        <f>ROUND(T43*AD$5/1200,2)</f>
        <v>0.0</v>
      </c>
      <c r="AE44" s="31">
        <f>ROUND(U43*AE$5/1200,2)</f>
        <v>0.0</v>
      </c>
      <c r="AF44" s="31">
        <f>ROUND(V43*AF$5/1200,2)</f>
        <v>0.0</v>
      </c>
      <c r="AG44" s="31">
        <f>ROUND(W43*AG$5/1200,2)</f>
        <v>0.0</v>
      </c>
      <c r="AH44" s="31">
        <f>ROUND(X43*AH$5/1200,2)</f>
        <v>0.0</v>
      </c>
      <c r="AI44" s="31">
        <f>ROUND(Y43*AI$5/1200,2)</f>
        <v>0.0</v>
      </c>
      <c r="AJ44" s="31">
        <f>ROUND(Z43*AJ$5/1200,2)</f>
        <v>0.0</v>
      </c>
      <c r="AK44" s="31">
        <f>ROUND(AA43*AK$5/1200,2)</f>
        <v>0.0</v>
      </c>
      <c r="AL44" s="31">
        <f>MIN(AL$5,R43+AB44)</f>
        <v>0.0</v>
      </c>
      <c r="AM44" s="31">
        <f>MIN(AM$5,S43+AC44)</f>
        <v>0.0</v>
      </c>
      <c r="AN44" s="31">
        <f>MIN(AN$5,T43+AD44)</f>
        <v>0.0</v>
      </c>
      <c r="AO44" s="31">
        <f>MIN(AO$5,U43+AE44)</f>
        <v>0.0</v>
      </c>
      <c r="AP44" s="31">
        <f>MIN(AP$5,V43+AF44)</f>
        <v>0.0</v>
      </c>
      <c r="AQ44" s="31">
        <f>MIN(AQ$5,W43+AG44)</f>
        <v>0.0</v>
      </c>
      <c r="AR44" s="31">
        <f>MIN(AR$5,X43+AH44)</f>
        <v>0.0</v>
      </c>
      <c r="AS44" s="31">
        <f>MIN(AS$5,Y43+AI44)</f>
        <v>0.0</v>
      </c>
      <c r="AT44" s="31">
        <f>MIN(AT$5,Z43+AJ44)</f>
        <v>0.0</v>
      </c>
      <c r="AU44" s="31">
        <f>MIN(AU$5,AA43+AK44)</f>
        <v>0.0</v>
      </c>
    </row>
    <row r="45">
      <c r="A45" s="25" t="str">
        <f>IF(F44&gt;0.005,40,"")</f>
        <v/>
      </c>
      <c r="B45" s="33" t="str">
        <f>IF(A45="","",EDATE(Долги!$D$5,39))</f>
        <v/>
      </c>
      <c r="C45" s="31">
        <f>SUM(H45:Q45)</f>
        <v>0.0</v>
      </c>
      <c r="D45" s="31">
        <f>SUM(AB45:AK45)</f>
        <v>0.0</v>
      </c>
      <c r="E45" s="31">
        <f>C45-D45</f>
        <v>0.0</v>
      </c>
      <c r="F45" s="31">
        <f>SUM(R45:AA45)</f>
        <v>0.0</v>
      </c>
      <c r="G45" s="34" t="str">
        <f>IF(OR(A45="",$F$5&lt;=0),"",REPT("█",ROUND(20*F45/$F$5,0)))</f>
        <v/>
      </c>
      <c r="H45" s="31">
        <f>AL45+MIN(R44+AB45-AL45,MAX(0,ROUND(Долги!$D$19-SUM($AL45:$AU45),2)))</f>
        <v>0.0</v>
      </c>
      <c r="I45" s="31">
        <f>AM45+MIN(S44+AC45-AM45,MAX(0,ROUND(ROUND(Долги!$D$19-SUM($AL45:$AU45),2)-(SUM($H45:H45)-SUM($AL45:AL45)),2)))</f>
        <v>0.0</v>
      </c>
      <c r="J45" s="31">
        <f>AN45+MIN(T44+AD45-AN45,MAX(0,ROUND(ROUND(Долги!$D$19-SUM($AL45:$AU45),2)-(SUM($H45:I45)-SUM($AL45:AM45)),2)))</f>
        <v>0.0</v>
      </c>
      <c r="K45" s="31">
        <f>AO45+MIN(U44+AE45-AO45,MAX(0,ROUND(ROUND(Долги!$D$19-SUM($AL45:$AU45),2)-(SUM($H45:J45)-SUM($AL45:AN45)),2)))</f>
        <v>0.0</v>
      </c>
      <c r="L45" s="31">
        <f>AP45+MIN(V44+AF45-AP45,MAX(0,ROUND(ROUND(Долги!$D$19-SUM($AL45:$AU45),2)-(SUM($H45:K45)-SUM($AL45:AO45)),2)))</f>
        <v>0.0</v>
      </c>
      <c r="M45" s="31">
        <f>AQ45+MIN(W44+AG45-AQ45,MAX(0,ROUND(ROUND(Долги!$D$19-SUM($AL45:$AU45),2)-(SUM($H45:L45)-SUM($AL45:AP45)),2)))</f>
        <v>0.0</v>
      </c>
      <c r="N45" s="31">
        <f>AR45+MIN(X44+AH45-AR45,MAX(0,ROUND(ROUND(Долги!$D$19-SUM($AL45:$AU45),2)-(SUM($H45:M45)-SUM($AL45:AQ45)),2)))</f>
        <v>0.0</v>
      </c>
      <c r="O45" s="31">
        <f>AS45+MIN(Y44+AI45-AS45,MAX(0,ROUND(ROUND(Долги!$D$19-SUM($AL45:$AU45),2)-(SUM($H45:N45)-SUM($AL45:AR45)),2)))</f>
        <v>0.0</v>
      </c>
      <c r="P45" s="31">
        <f>AT45+MIN(Z44+AJ45-AT45,MAX(0,ROUND(ROUND(Долги!$D$19-SUM($AL45:$AU45),2)-(SUM($H45:O45)-SUM($AL45:AS45)),2)))</f>
        <v>0.0</v>
      </c>
      <c r="Q45" s="31">
        <f>AU45+MIN(AA44+AK45-AU45,MAX(0,ROUND(ROUND(Долги!$D$19-SUM($AL45:$AU45),2)-(SUM($H45:P45)-SUM($AL45:AT45)),2)))</f>
        <v>0.0</v>
      </c>
      <c r="R45" s="31">
        <f>IF(R44+AB45-H45&lt;=0.01,0,ROUND(R44+AB45-H45,2))</f>
        <v>0.0</v>
      </c>
      <c r="S45" s="31">
        <f>IF(S44+AC45-I45&lt;=0.01,0,ROUND(S44+AC45-I45,2))</f>
        <v>0.0</v>
      </c>
      <c r="T45" s="31">
        <f>IF(T44+AD45-J45&lt;=0.01,0,ROUND(T44+AD45-J45,2))</f>
        <v>0.0</v>
      </c>
      <c r="U45" s="31">
        <f>IF(U44+AE45-K45&lt;=0.01,0,ROUND(U44+AE45-K45,2))</f>
        <v>0.0</v>
      </c>
      <c r="V45" s="31">
        <f>IF(V44+AF45-L45&lt;=0.01,0,ROUND(V44+AF45-L45,2))</f>
        <v>0.0</v>
      </c>
      <c r="W45" s="31">
        <f>IF(W44+AG45-M45&lt;=0.01,0,ROUND(W44+AG45-M45,2))</f>
        <v>0.0</v>
      </c>
      <c r="X45" s="31">
        <f>IF(X44+AH45-N45&lt;=0.01,0,ROUND(X44+AH45-N45,2))</f>
        <v>0.0</v>
      </c>
      <c r="Y45" s="31">
        <f>IF(Y44+AI45-O45&lt;=0.01,0,ROUND(Y44+AI45-O45,2))</f>
        <v>0.0</v>
      </c>
      <c r="Z45" s="31">
        <f>IF(Z44+AJ45-P45&lt;=0.01,0,ROUND(Z44+AJ45-P45,2))</f>
        <v>0.0</v>
      </c>
      <c r="AA45" s="31">
        <f>IF(AA44+AK45-Q45&lt;=0.01,0,ROUND(AA44+AK45-Q45,2))</f>
        <v>0.0</v>
      </c>
      <c r="AB45" s="31">
        <f>ROUND(R44*AB$5/1200,2)</f>
        <v>0.0</v>
      </c>
      <c r="AC45" s="31">
        <f>ROUND(S44*AC$5/1200,2)</f>
        <v>0.0</v>
      </c>
      <c r="AD45" s="31">
        <f>ROUND(T44*AD$5/1200,2)</f>
        <v>0.0</v>
      </c>
      <c r="AE45" s="31">
        <f>ROUND(U44*AE$5/1200,2)</f>
        <v>0.0</v>
      </c>
      <c r="AF45" s="31">
        <f>ROUND(V44*AF$5/1200,2)</f>
        <v>0.0</v>
      </c>
      <c r="AG45" s="31">
        <f>ROUND(W44*AG$5/1200,2)</f>
        <v>0.0</v>
      </c>
      <c r="AH45" s="31">
        <f>ROUND(X44*AH$5/1200,2)</f>
        <v>0.0</v>
      </c>
      <c r="AI45" s="31">
        <f>ROUND(Y44*AI$5/1200,2)</f>
        <v>0.0</v>
      </c>
      <c r="AJ45" s="31">
        <f>ROUND(Z44*AJ$5/1200,2)</f>
        <v>0.0</v>
      </c>
      <c r="AK45" s="31">
        <f>ROUND(AA44*AK$5/1200,2)</f>
        <v>0.0</v>
      </c>
      <c r="AL45" s="31">
        <f>MIN(AL$5,R44+AB45)</f>
        <v>0.0</v>
      </c>
      <c r="AM45" s="31">
        <f>MIN(AM$5,S44+AC45)</f>
        <v>0.0</v>
      </c>
      <c r="AN45" s="31">
        <f>MIN(AN$5,T44+AD45)</f>
        <v>0.0</v>
      </c>
      <c r="AO45" s="31">
        <f>MIN(AO$5,U44+AE45)</f>
        <v>0.0</v>
      </c>
      <c r="AP45" s="31">
        <f>MIN(AP$5,V44+AF45)</f>
        <v>0.0</v>
      </c>
      <c r="AQ45" s="31">
        <f>MIN(AQ$5,W44+AG45)</f>
        <v>0.0</v>
      </c>
      <c r="AR45" s="31">
        <f>MIN(AR$5,X44+AH45)</f>
        <v>0.0</v>
      </c>
      <c r="AS45" s="31">
        <f>MIN(AS$5,Y44+AI45)</f>
        <v>0.0</v>
      </c>
      <c r="AT45" s="31">
        <f>MIN(AT$5,Z44+AJ45)</f>
        <v>0.0</v>
      </c>
      <c r="AU45" s="31">
        <f>MIN(AU$5,AA44+AK45)</f>
        <v>0.0</v>
      </c>
    </row>
    <row r="46">
      <c r="A46" s="25" t="str">
        <f>IF(F45&gt;0.005,41,"")</f>
        <v/>
      </c>
      <c r="B46" s="33" t="str">
        <f>IF(A46="","",EDATE(Долги!$D$5,40))</f>
        <v/>
      </c>
      <c r="C46" s="31">
        <f>SUM(H46:Q46)</f>
        <v>0.0</v>
      </c>
      <c r="D46" s="31">
        <f>SUM(AB46:AK46)</f>
        <v>0.0</v>
      </c>
      <c r="E46" s="31">
        <f>C46-D46</f>
        <v>0.0</v>
      </c>
      <c r="F46" s="31">
        <f>SUM(R46:AA46)</f>
        <v>0.0</v>
      </c>
      <c r="G46" s="34" t="str">
        <f>IF(OR(A46="",$F$5&lt;=0),"",REPT("█",ROUND(20*F46/$F$5,0)))</f>
        <v/>
      </c>
      <c r="H46" s="31">
        <f>AL46+MIN(R45+AB46-AL46,MAX(0,ROUND(Долги!$D$19-SUM($AL46:$AU46),2)))</f>
        <v>0.0</v>
      </c>
      <c r="I46" s="31">
        <f>AM46+MIN(S45+AC46-AM46,MAX(0,ROUND(ROUND(Долги!$D$19-SUM($AL46:$AU46),2)-(SUM($H46:H46)-SUM($AL46:AL46)),2)))</f>
        <v>0.0</v>
      </c>
      <c r="J46" s="31">
        <f>AN46+MIN(T45+AD46-AN46,MAX(0,ROUND(ROUND(Долги!$D$19-SUM($AL46:$AU46),2)-(SUM($H46:I46)-SUM($AL46:AM46)),2)))</f>
        <v>0.0</v>
      </c>
      <c r="K46" s="31">
        <f>AO46+MIN(U45+AE46-AO46,MAX(0,ROUND(ROUND(Долги!$D$19-SUM($AL46:$AU46),2)-(SUM($H46:J46)-SUM($AL46:AN46)),2)))</f>
        <v>0.0</v>
      </c>
      <c r="L46" s="31">
        <f>AP46+MIN(V45+AF46-AP46,MAX(0,ROUND(ROUND(Долги!$D$19-SUM($AL46:$AU46),2)-(SUM($H46:K46)-SUM($AL46:AO46)),2)))</f>
        <v>0.0</v>
      </c>
      <c r="M46" s="31">
        <f>AQ46+MIN(W45+AG46-AQ46,MAX(0,ROUND(ROUND(Долги!$D$19-SUM($AL46:$AU46),2)-(SUM($H46:L46)-SUM($AL46:AP46)),2)))</f>
        <v>0.0</v>
      </c>
      <c r="N46" s="31">
        <f>AR46+MIN(X45+AH46-AR46,MAX(0,ROUND(ROUND(Долги!$D$19-SUM($AL46:$AU46),2)-(SUM($H46:M46)-SUM($AL46:AQ46)),2)))</f>
        <v>0.0</v>
      </c>
      <c r="O46" s="31">
        <f>AS46+MIN(Y45+AI46-AS46,MAX(0,ROUND(ROUND(Долги!$D$19-SUM($AL46:$AU46),2)-(SUM($H46:N46)-SUM($AL46:AR46)),2)))</f>
        <v>0.0</v>
      </c>
      <c r="P46" s="31">
        <f>AT46+MIN(Z45+AJ46-AT46,MAX(0,ROUND(ROUND(Долги!$D$19-SUM($AL46:$AU46),2)-(SUM($H46:O46)-SUM($AL46:AS46)),2)))</f>
        <v>0.0</v>
      </c>
      <c r="Q46" s="31">
        <f>AU46+MIN(AA45+AK46-AU46,MAX(0,ROUND(ROUND(Долги!$D$19-SUM($AL46:$AU46),2)-(SUM($H46:P46)-SUM($AL46:AT46)),2)))</f>
        <v>0.0</v>
      </c>
      <c r="R46" s="31">
        <f>IF(R45+AB46-H46&lt;=0.01,0,ROUND(R45+AB46-H46,2))</f>
        <v>0.0</v>
      </c>
      <c r="S46" s="31">
        <f>IF(S45+AC46-I46&lt;=0.01,0,ROUND(S45+AC46-I46,2))</f>
        <v>0.0</v>
      </c>
      <c r="T46" s="31">
        <f>IF(T45+AD46-J46&lt;=0.01,0,ROUND(T45+AD46-J46,2))</f>
        <v>0.0</v>
      </c>
      <c r="U46" s="31">
        <f>IF(U45+AE46-K46&lt;=0.01,0,ROUND(U45+AE46-K46,2))</f>
        <v>0.0</v>
      </c>
      <c r="V46" s="31">
        <f>IF(V45+AF46-L46&lt;=0.01,0,ROUND(V45+AF46-L46,2))</f>
        <v>0.0</v>
      </c>
      <c r="W46" s="31">
        <f>IF(W45+AG46-M46&lt;=0.01,0,ROUND(W45+AG46-M46,2))</f>
        <v>0.0</v>
      </c>
      <c r="X46" s="31">
        <f>IF(X45+AH46-N46&lt;=0.01,0,ROUND(X45+AH46-N46,2))</f>
        <v>0.0</v>
      </c>
      <c r="Y46" s="31">
        <f>IF(Y45+AI46-O46&lt;=0.01,0,ROUND(Y45+AI46-O46,2))</f>
        <v>0.0</v>
      </c>
      <c r="Z46" s="31">
        <f>IF(Z45+AJ46-P46&lt;=0.01,0,ROUND(Z45+AJ46-P46,2))</f>
        <v>0.0</v>
      </c>
      <c r="AA46" s="31">
        <f>IF(AA45+AK46-Q46&lt;=0.01,0,ROUND(AA45+AK46-Q46,2))</f>
        <v>0.0</v>
      </c>
      <c r="AB46" s="31">
        <f>ROUND(R45*AB$5/1200,2)</f>
        <v>0.0</v>
      </c>
      <c r="AC46" s="31">
        <f>ROUND(S45*AC$5/1200,2)</f>
        <v>0.0</v>
      </c>
      <c r="AD46" s="31">
        <f>ROUND(T45*AD$5/1200,2)</f>
        <v>0.0</v>
      </c>
      <c r="AE46" s="31">
        <f>ROUND(U45*AE$5/1200,2)</f>
        <v>0.0</v>
      </c>
      <c r="AF46" s="31">
        <f>ROUND(V45*AF$5/1200,2)</f>
        <v>0.0</v>
      </c>
      <c r="AG46" s="31">
        <f>ROUND(W45*AG$5/1200,2)</f>
        <v>0.0</v>
      </c>
      <c r="AH46" s="31">
        <f>ROUND(X45*AH$5/1200,2)</f>
        <v>0.0</v>
      </c>
      <c r="AI46" s="31">
        <f>ROUND(Y45*AI$5/1200,2)</f>
        <v>0.0</v>
      </c>
      <c r="AJ46" s="31">
        <f>ROUND(Z45*AJ$5/1200,2)</f>
        <v>0.0</v>
      </c>
      <c r="AK46" s="31">
        <f>ROUND(AA45*AK$5/1200,2)</f>
        <v>0.0</v>
      </c>
      <c r="AL46" s="31">
        <f>MIN(AL$5,R45+AB46)</f>
        <v>0.0</v>
      </c>
      <c r="AM46" s="31">
        <f>MIN(AM$5,S45+AC46)</f>
        <v>0.0</v>
      </c>
      <c r="AN46" s="31">
        <f>MIN(AN$5,T45+AD46)</f>
        <v>0.0</v>
      </c>
      <c r="AO46" s="31">
        <f>MIN(AO$5,U45+AE46)</f>
        <v>0.0</v>
      </c>
      <c r="AP46" s="31">
        <f>MIN(AP$5,V45+AF46)</f>
        <v>0.0</v>
      </c>
      <c r="AQ46" s="31">
        <f>MIN(AQ$5,W45+AG46)</f>
        <v>0.0</v>
      </c>
      <c r="AR46" s="31">
        <f>MIN(AR$5,X45+AH46)</f>
        <v>0.0</v>
      </c>
      <c r="AS46" s="31">
        <f>MIN(AS$5,Y45+AI46)</f>
        <v>0.0</v>
      </c>
      <c r="AT46" s="31">
        <f>MIN(AT$5,Z45+AJ46)</f>
        <v>0.0</v>
      </c>
      <c r="AU46" s="31">
        <f>MIN(AU$5,AA45+AK46)</f>
        <v>0.0</v>
      </c>
    </row>
    <row r="47">
      <c r="A47" s="25" t="str">
        <f>IF(F46&gt;0.005,42,"")</f>
        <v/>
      </c>
      <c r="B47" s="33" t="str">
        <f>IF(A47="","",EDATE(Долги!$D$5,41))</f>
        <v/>
      </c>
      <c r="C47" s="31">
        <f>SUM(H47:Q47)</f>
        <v>0.0</v>
      </c>
      <c r="D47" s="31">
        <f>SUM(AB47:AK47)</f>
        <v>0.0</v>
      </c>
      <c r="E47" s="31">
        <f>C47-D47</f>
        <v>0.0</v>
      </c>
      <c r="F47" s="31">
        <f>SUM(R47:AA47)</f>
        <v>0.0</v>
      </c>
      <c r="G47" s="34" t="str">
        <f>IF(OR(A47="",$F$5&lt;=0),"",REPT("█",ROUND(20*F47/$F$5,0)))</f>
        <v/>
      </c>
      <c r="H47" s="31">
        <f>AL47+MIN(R46+AB47-AL47,MAX(0,ROUND(Долги!$D$19-SUM($AL47:$AU47),2)))</f>
        <v>0.0</v>
      </c>
      <c r="I47" s="31">
        <f>AM47+MIN(S46+AC47-AM47,MAX(0,ROUND(ROUND(Долги!$D$19-SUM($AL47:$AU47),2)-(SUM($H47:H47)-SUM($AL47:AL47)),2)))</f>
        <v>0.0</v>
      </c>
      <c r="J47" s="31">
        <f>AN47+MIN(T46+AD47-AN47,MAX(0,ROUND(ROUND(Долги!$D$19-SUM($AL47:$AU47),2)-(SUM($H47:I47)-SUM($AL47:AM47)),2)))</f>
        <v>0.0</v>
      </c>
      <c r="K47" s="31">
        <f>AO47+MIN(U46+AE47-AO47,MAX(0,ROUND(ROUND(Долги!$D$19-SUM($AL47:$AU47),2)-(SUM($H47:J47)-SUM($AL47:AN47)),2)))</f>
        <v>0.0</v>
      </c>
      <c r="L47" s="31">
        <f>AP47+MIN(V46+AF47-AP47,MAX(0,ROUND(ROUND(Долги!$D$19-SUM($AL47:$AU47),2)-(SUM($H47:K47)-SUM($AL47:AO47)),2)))</f>
        <v>0.0</v>
      </c>
      <c r="M47" s="31">
        <f>AQ47+MIN(W46+AG47-AQ47,MAX(0,ROUND(ROUND(Долги!$D$19-SUM($AL47:$AU47),2)-(SUM($H47:L47)-SUM($AL47:AP47)),2)))</f>
        <v>0.0</v>
      </c>
      <c r="N47" s="31">
        <f>AR47+MIN(X46+AH47-AR47,MAX(0,ROUND(ROUND(Долги!$D$19-SUM($AL47:$AU47),2)-(SUM($H47:M47)-SUM($AL47:AQ47)),2)))</f>
        <v>0.0</v>
      </c>
      <c r="O47" s="31">
        <f>AS47+MIN(Y46+AI47-AS47,MAX(0,ROUND(ROUND(Долги!$D$19-SUM($AL47:$AU47),2)-(SUM($H47:N47)-SUM($AL47:AR47)),2)))</f>
        <v>0.0</v>
      </c>
      <c r="P47" s="31">
        <f>AT47+MIN(Z46+AJ47-AT47,MAX(0,ROUND(ROUND(Долги!$D$19-SUM($AL47:$AU47),2)-(SUM($H47:O47)-SUM($AL47:AS47)),2)))</f>
        <v>0.0</v>
      </c>
      <c r="Q47" s="31">
        <f>AU47+MIN(AA46+AK47-AU47,MAX(0,ROUND(ROUND(Долги!$D$19-SUM($AL47:$AU47),2)-(SUM($H47:P47)-SUM($AL47:AT47)),2)))</f>
        <v>0.0</v>
      </c>
      <c r="R47" s="31">
        <f>IF(R46+AB47-H47&lt;=0.01,0,ROUND(R46+AB47-H47,2))</f>
        <v>0.0</v>
      </c>
      <c r="S47" s="31">
        <f>IF(S46+AC47-I47&lt;=0.01,0,ROUND(S46+AC47-I47,2))</f>
        <v>0.0</v>
      </c>
      <c r="T47" s="31">
        <f>IF(T46+AD47-J47&lt;=0.01,0,ROUND(T46+AD47-J47,2))</f>
        <v>0.0</v>
      </c>
      <c r="U47" s="31">
        <f>IF(U46+AE47-K47&lt;=0.01,0,ROUND(U46+AE47-K47,2))</f>
        <v>0.0</v>
      </c>
      <c r="V47" s="31">
        <f>IF(V46+AF47-L47&lt;=0.01,0,ROUND(V46+AF47-L47,2))</f>
        <v>0.0</v>
      </c>
      <c r="W47" s="31">
        <f>IF(W46+AG47-M47&lt;=0.01,0,ROUND(W46+AG47-M47,2))</f>
        <v>0.0</v>
      </c>
      <c r="X47" s="31">
        <f>IF(X46+AH47-N47&lt;=0.01,0,ROUND(X46+AH47-N47,2))</f>
        <v>0.0</v>
      </c>
      <c r="Y47" s="31">
        <f>IF(Y46+AI47-O47&lt;=0.01,0,ROUND(Y46+AI47-O47,2))</f>
        <v>0.0</v>
      </c>
      <c r="Z47" s="31">
        <f>IF(Z46+AJ47-P47&lt;=0.01,0,ROUND(Z46+AJ47-P47,2))</f>
        <v>0.0</v>
      </c>
      <c r="AA47" s="31">
        <f>IF(AA46+AK47-Q47&lt;=0.01,0,ROUND(AA46+AK47-Q47,2))</f>
        <v>0.0</v>
      </c>
      <c r="AB47" s="31">
        <f>ROUND(R46*AB$5/1200,2)</f>
        <v>0.0</v>
      </c>
      <c r="AC47" s="31">
        <f>ROUND(S46*AC$5/1200,2)</f>
        <v>0.0</v>
      </c>
      <c r="AD47" s="31">
        <f>ROUND(T46*AD$5/1200,2)</f>
        <v>0.0</v>
      </c>
      <c r="AE47" s="31">
        <f>ROUND(U46*AE$5/1200,2)</f>
        <v>0.0</v>
      </c>
      <c r="AF47" s="31">
        <f>ROUND(V46*AF$5/1200,2)</f>
        <v>0.0</v>
      </c>
      <c r="AG47" s="31">
        <f>ROUND(W46*AG$5/1200,2)</f>
        <v>0.0</v>
      </c>
      <c r="AH47" s="31">
        <f>ROUND(X46*AH$5/1200,2)</f>
        <v>0.0</v>
      </c>
      <c r="AI47" s="31">
        <f>ROUND(Y46*AI$5/1200,2)</f>
        <v>0.0</v>
      </c>
      <c r="AJ47" s="31">
        <f>ROUND(Z46*AJ$5/1200,2)</f>
        <v>0.0</v>
      </c>
      <c r="AK47" s="31">
        <f>ROUND(AA46*AK$5/1200,2)</f>
        <v>0.0</v>
      </c>
      <c r="AL47" s="31">
        <f>MIN(AL$5,R46+AB47)</f>
        <v>0.0</v>
      </c>
      <c r="AM47" s="31">
        <f>MIN(AM$5,S46+AC47)</f>
        <v>0.0</v>
      </c>
      <c r="AN47" s="31">
        <f>MIN(AN$5,T46+AD47)</f>
        <v>0.0</v>
      </c>
      <c r="AO47" s="31">
        <f>MIN(AO$5,U46+AE47)</f>
        <v>0.0</v>
      </c>
      <c r="AP47" s="31">
        <f>MIN(AP$5,V46+AF47)</f>
        <v>0.0</v>
      </c>
      <c r="AQ47" s="31">
        <f>MIN(AQ$5,W46+AG47)</f>
        <v>0.0</v>
      </c>
      <c r="AR47" s="31">
        <f>MIN(AR$5,X46+AH47)</f>
        <v>0.0</v>
      </c>
      <c r="AS47" s="31">
        <f>MIN(AS$5,Y46+AI47)</f>
        <v>0.0</v>
      </c>
      <c r="AT47" s="31">
        <f>MIN(AT$5,Z46+AJ47)</f>
        <v>0.0</v>
      </c>
      <c r="AU47" s="31">
        <f>MIN(AU$5,AA46+AK47)</f>
        <v>0.0</v>
      </c>
    </row>
    <row r="48">
      <c r="A48" s="25" t="str">
        <f>IF(F47&gt;0.005,43,"")</f>
        <v/>
      </c>
      <c r="B48" s="33" t="str">
        <f>IF(A48="","",EDATE(Долги!$D$5,42))</f>
        <v/>
      </c>
      <c r="C48" s="31">
        <f>SUM(H48:Q48)</f>
        <v>0.0</v>
      </c>
      <c r="D48" s="31">
        <f>SUM(AB48:AK48)</f>
        <v>0.0</v>
      </c>
      <c r="E48" s="31">
        <f>C48-D48</f>
        <v>0.0</v>
      </c>
      <c r="F48" s="31">
        <f>SUM(R48:AA48)</f>
        <v>0.0</v>
      </c>
      <c r="G48" s="34" t="str">
        <f>IF(OR(A48="",$F$5&lt;=0),"",REPT("█",ROUND(20*F48/$F$5,0)))</f>
        <v/>
      </c>
      <c r="H48" s="31">
        <f>AL48+MIN(R47+AB48-AL48,MAX(0,ROUND(Долги!$D$19-SUM($AL48:$AU48),2)))</f>
        <v>0.0</v>
      </c>
      <c r="I48" s="31">
        <f>AM48+MIN(S47+AC48-AM48,MAX(0,ROUND(ROUND(Долги!$D$19-SUM($AL48:$AU48),2)-(SUM($H48:H48)-SUM($AL48:AL48)),2)))</f>
        <v>0.0</v>
      </c>
      <c r="J48" s="31">
        <f>AN48+MIN(T47+AD48-AN48,MAX(0,ROUND(ROUND(Долги!$D$19-SUM($AL48:$AU48),2)-(SUM($H48:I48)-SUM($AL48:AM48)),2)))</f>
        <v>0.0</v>
      </c>
      <c r="K48" s="31">
        <f>AO48+MIN(U47+AE48-AO48,MAX(0,ROUND(ROUND(Долги!$D$19-SUM($AL48:$AU48),2)-(SUM($H48:J48)-SUM($AL48:AN48)),2)))</f>
        <v>0.0</v>
      </c>
      <c r="L48" s="31">
        <f>AP48+MIN(V47+AF48-AP48,MAX(0,ROUND(ROUND(Долги!$D$19-SUM($AL48:$AU48),2)-(SUM($H48:K48)-SUM($AL48:AO48)),2)))</f>
        <v>0.0</v>
      </c>
      <c r="M48" s="31">
        <f>AQ48+MIN(W47+AG48-AQ48,MAX(0,ROUND(ROUND(Долги!$D$19-SUM($AL48:$AU48),2)-(SUM($H48:L48)-SUM($AL48:AP48)),2)))</f>
        <v>0.0</v>
      </c>
      <c r="N48" s="31">
        <f>AR48+MIN(X47+AH48-AR48,MAX(0,ROUND(ROUND(Долги!$D$19-SUM($AL48:$AU48),2)-(SUM($H48:M48)-SUM($AL48:AQ48)),2)))</f>
        <v>0.0</v>
      </c>
      <c r="O48" s="31">
        <f>AS48+MIN(Y47+AI48-AS48,MAX(0,ROUND(ROUND(Долги!$D$19-SUM($AL48:$AU48),2)-(SUM($H48:N48)-SUM($AL48:AR48)),2)))</f>
        <v>0.0</v>
      </c>
      <c r="P48" s="31">
        <f>AT48+MIN(Z47+AJ48-AT48,MAX(0,ROUND(ROUND(Долги!$D$19-SUM($AL48:$AU48),2)-(SUM($H48:O48)-SUM($AL48:AS48)),2)))</f>
        <v>0.0</v>
      </c>
      <c r="Q48" s="31">
        <f>AU48+MIN(AA47+AK48-AU48,MAX(0,ROUND(ROUND(Долги!$D$19-SUM($AL48:$AU48),2)-(SUM($H48:P48)-SUM($AL48:AT48)),2)))</f>
        <v>0.0</v>
      </c>
      <c r="R48" s="31">
        <f>IF(R47+AB48-H48&lt;=0.01,0,ROUND(R47+AB48-H48,2))</f>
        <v>0.0</v>
      </c>
      <c r="S48" s="31">
        <f>IF(S47+AC48-I48&lt;=0.01,0,ROUND(S47+AC48-I48,2))</f>
        <v>0.0</v>
      </c>
      <c r="T48" s="31">
        <f>IF(T47+AD48-J48&lt;=0.01,0,ROUND(T47+AD48-J48,2))</f>
        <v>0.0</v>
      </c>
      <c r="U48" s="31">
        <f>IF(U47+AE48-K48&lt;=0.01,0,ROUND(U47+AE48-K48,2))</f>
        <v>0.0</v>
      </c>
      <c r="V48" s="31">
        <f>IF(V47+AF48-L48&lt;=0.01,0,ROUND(V47+AF48-L48,2))</f>
        <v>0.0</v>
      </c>
      <c r="W48" s="31">
        <f>IF(W47+AG48-M48&lt;=0.01,0,ROUND(W47+AG48-M48,2))</f>
        <v>0.0</v>
      </c>
      <c r="X48" s="31">
        <f>IF(X47+AH48-N48&lt;=0.01,0,ROUND(X47+AH48-N48,2))</f>
        <v>0.0</v>
      </c>
      <c r="Y48" s="31">
        <f>IF(Y47+AI48-O48&lt;=0.01,0,ROUND(Y47+AI48-O48,2))</f>
        <v>0.0</v>
      </c>
      <c r="Z48" s="31">
        <f>IF(Z47+AJ48-P48&lt;=0.01,0,ROUND(Z47+AJ48-P48,2))</f>
        <v>0.0</v>
      </c>
      <c r="AA48" s="31">
        <f>IF(AA47+AK48-Q48&lt;=0.01,0,ROUND(AA47+AK48-Q48,2))</f>
        <v>0.0</v>
      </c>
      <c r="AB48" s="31">
        <f>ROUND(R47*AB$5/1200,2)</f>
        <v>0.0</v>
      </c>
      <c r="AC48" s="31">
        <f>ROUND(S47*AC$5/1200,2)</f>
        <v>0.0</v>
      </c>
      <c r="AD48" s="31">
        <f>ROUND(T47*AD$5/1200,2)</f>
        <v>0.0</v>
      </c>
      <c r="AE48" s="31">
        <f>ROUND(U47*AE$5/1200,2)</f>
        <v>0.0</v>
      </c>
      <c r="AF48" s="31">
        <f>ROUND(V47*AF$5/1200,2)</f>
        <v>0.0</v>
      </c>
      <c r="AG48" s="31">
        <f>ROUND(W47*AG$5/1200,2)</f>
        <v>0.0</v>
      </c>
      <c r="AH48" s="31">
        <f>ROUND(X47*AH$5/1200,2)</f>
        <v>0.0</v>
      </c>
      <c r="AI48" s="31">
        <f>ROUND(Y47*AI$5/1200,2)</f>
        <v>0.0</v>
      </c>
      <c r="AJ48" s="31">
        <f>ROUND(Z47*AJ$5/1200,2)</f>
        <v>0.0</v>
      </c>
      <c r="AK48" s="31">
        <f>ROUND(AA47*AK$5/1200,2)</f>
        <v>0.0</v>
      </c>
      <c r="AL48" s="31">
        <f>MIN(AL$5,R47+AB48)</f>
        <v>0.0</v>
      </c>
      <c r="AM48" s="31">
        <f>MIN(AM$5,S47+AC48)</f>
        <v>0.0</v>
      </c>
      <c r="AN48" s="31">
        <f>MIN(AN$5,T47+AD48)</f>
        <v>0.0</v>
      </c>
      <c r="AO48" s="31">
        <f>MIN(AO$5,U47+AE48)</f>
        <v>0.0</v>
      </c>
      <c r="AP48" s="31">
        <f>MIN(AP$5,V47+AF48)</f>
        <v>0.0</v>
      </c>
      <c r="AQ48" s="31">
        <f>MIN(AQ$5,W47+AG48)</f>
        <v>0.0</v>
      </c>
      <c r="AR48" s="31">
        <f>MIN(AR$5,X47+AH48)</f>
        <v>0.0</v>
      </c>
      <c r="AS48" s="31">
        <f>MIN(AS$5,Y47+AI48)</f>
        <v>0.0</v>
      </c>
      <c r="AT48" s="31">
        <f>MIN(AT$5,Z47+AJ48)</f>
        <v>0.0</v>
      </c>
      <c r="AU48" s="31">
        <f>MIN(AU$5,AA47+AK48)</f>
        <v>0.0</v>
      </c>
    </row>
    <row r="49">
      <c r="A49" s="25" t="str">
        <f>IF(F48&gt;0.005,44,"")</f>
        <v/>
      </c>
      <c r="B49" s="33" t="str">
        <f>IF(A49="","",EDATE(Долги!$D$5,43))</f>
        <v/>
      </c>
      <c r="C49" s="31">
        <f>SUM(H49:Q49)</f>
        <v>0.0</v>
      </c>
      <c r="D49" s="31">
        <f>SUM(AB49:AK49)</f>
        <v>0.0</v>
      </c>
      <c r="E49" s="31">
        <f>C49-D49</f>
        <v>0.0</v>
      </c>
      <c r="F49" s="31">
        <f>SUM(R49:AA49)</f>
        <v>0.0</v>
      </c>
      <c r="G49" s="34" t="str">
        <f>IF(OR(A49="",$F$5&lt;=0),"",REPT("█",ROUND(20*F49/$F$5,0)))</f>
        <v/>
      </c>
      <c r="H49" s="31">
        <f>AL49+MIN(R48+AB49-AL49,MAX(0,ROUND(Долги!$D$19-SUM($AL49:$AU49),2)))</f>
        <v>0.0</v>
      </c>
      <c r="I49" s="31">
        <f>AM49+MIN(S48+AC49-AM49,MAX(0,ROUND(ROUND(Долги!$D$19-SUM($AL49:$AU49),2)-(SUM($H49:H49)-SUM($AL49:AL49)),2)))</f>
        <v>0.0</v>
      </c>
      <c r="J49" s="31">
        <f>AN49+MIN(T48+AD49-AN49,MAX(0,ROUND(ROUND(Долги!$D$19-SUM($AL49:$AU49),2)-(SUM($H49:I49)-SUM($AL49:AM49)),2)))</f>
        <v>0.0</v>
      </c>
      <c r="K49" s="31">
        <f>AO49+MIN(U48+AE49-AO49,MAX(0,ROUND(ROUND(Долги!$D$19-SUM($AL49:$AU49),2)-(SUM($H49:J49)-SUM($AL49:AN49)),2)))</f>
        <v>0.0</v>
      </c>
      <c r="L49" s="31">
        <f>AP49+MIN(V48+AF49-AP49,MAX(0,ROUND(ROUND(Долги!$D$19-SUM($AL49:$AU49),2)-(SUM($H49:K49)-SUM($AL49:AO49)),2)))</f>
        <v>0.0</v>
      </c>
      <c r="M49" s="31">
        <f>AQ49+MIN(W48+AG49-AQ49,MAX(0,ROUND(ROUND(Долги!$D$19-SUM($AL49:$AU49),2)-(SUM($H49:L49)-SUM($AL49:AP49)),2)))</f>
        <v>0.0</v>
      </c>
      <c r="N49" s="31">
        <f>AR49+MIN(X48+AH49-AR49,MAX(0,ROUND(ROUND(Долги!$D$19-SUM($AL49:$AU49),2)-(SUM($H49:M49)-SUM($AL49:AQ49)),2)))</f>
        <v>0.0</v>
      </c>
      <c r="O49" s="31">
        <f>AS49+MIN(Y48+AI49-AS49,MAX(0,ROUND(ROUND(Долги!$D$19-SUM($AL49:$AU49),2)-(SUM($H49:N49)-SUM($AL49:AR49)),2)))</f>
        <v>0.0</v>
      </c>
      <c r="P49" s="31">
        <f>AT49+MIN(Z48+AJ49-AT49,MAX(0,ROUND(ROUND(Долги!$D$19-SUM($AL49:$AU49),2)-(SUM($H49:O49)-SUM($AL49:AS49)),2)))</f>
        <v>0.0</v>
      </c>
      <c r="Q49" s="31">
        <f>AU49+MIN(AA48+AK49-AU49,MAX(0,ROUND(ROUND(Долги!$D$19-SUM($AL49:$AU49),2)-(SUM($H49:P49)-SUM($AL49:AT49)),2)))</f>
        <v>0.0</v>
      </c>
      <c r="R49" s="31">
        <f>IF(R48+AB49-H49&lt;=0.01,0,ROUND(R48+AB49-H49,2))</f>
        <v>0.0</v>
      </c>
      <c r="S49" s="31">
        <f>IF(S48+AC49-I49&lt;=0.01,0,ROUND(S48+AC49-I49,2))</f>
        <v>0.0</v>
      </c>
      <c r="T49" s="31">
        <f>IF(T48+AD49-J49&lt;=0.01,0,ROUND(T48+AD49-J49,2))</f>
        <v>0.0</v>
      </c>
      <c r="U49" s="31">
        <f>IF(U48+AE49-K49&lt;=0.01,0,ROUND(U48+AE49-K49,2))</f>
        <v>0.0</v>
      </c>
      <c r="V49" s="31">
        <f>IF(V48+AF49-L49&lt;=0.01,0,ROUND(V48+AF49-L49,2))</f>
        <v>0.0</v>
      </c>
      <c r="W49" s="31">
        <f>IF(W48+AG49-M49&lt;=0.01,0,ROUND(W48+AG49-M49,2))</f>
        <v>0.0</v>
      </c>
      <c r="X49" s="31">
        <f>IF(X48+AH49-N49&lt;=0.01,0,ROUND(X48+AH49-N49,2))</f>
        <v>0.0</v>
      </c>
      <c r="Y49" s="31">
        <f>IF(Y48+AI49-O49&lt;=0.01,0,ROUND(Y48+AI49-O49,2))</f>
        <v>0.0</v>
      </c>
      <c r="Z49" s="31">
        <f>IF(Z48+AJ49-P49&lt;=0.01,0,ROUND(Z48+AJ49-P49,2))</f>
        <v>0.0</v>
      </c>
      <c r="AA49" s="31">
        <f>IF(AA48+AK49-Q49&lt;=0.01,0,ROUND(AA48+AK49-Q49,2))</f>
        <v>0.0</v>
      </c>
      <c r="AB49" s="31">
        <f>ROUND(R48*AB$5/1200,2)</f>
        <v>0.0</v>
      </c>
      <c r="AC49" s="31">
        <f>ROUND(S48*AC$5/1200,2)</f>
        <v>0.0</v>
      </c>
      <c r="AD49" s="31">
        <f>ROUND(T48*AD$5/1200,2)</f>
        <v>0.0</v>
      </c>
      <c r="AE49" s="31">
        <f>ROUND(U48*AE$5/1200,2)</f>
        <v>0.0</v>
      </c>
      <c r="AF49" s="31">
        <f>ROUND(V48*AF$5/1200,2)</f>
        <v>0.0</v>
      </c>
      <c r="AG49" s="31">
        <f>ROUND(W48*AG$5/1200,2)</f>
        <v>0.0</v>
      </c>
      <c r="AH49" s="31">
        <f>ROUND(X48*AH$5/1200,2)</f>
        <v>0.0</v>
      </c>
      <c r="AI49" s="31">
        <f>ROUND(Y48*AI$5/1200,2)</f>
        <v>0.0</v>
      </c>
      <c r="AJ49" s="31">
        <f>ROUND(Z48*AJ$5/1200,2)</f>
        <v>0.0</v>
      </c>
      <c r="AK49" s="31">
        <f>ROUND(AA48*AK$5/1200,2)</f>
        <v>0.0</v>
      </c>
      <c r="AL49" s="31">
        <f>MIN(AL$5,R48+AB49)</f>
        <v>0.0</v>
      </c>
      <c r="AM49" s="31">
        <f>MIN(AM$5,S48+AC49)</f>
        <v>0.0</v>
      </c>
      <c r="AN49" s="31">
        <f>MIN(AN$5,T48+AD49)</f>
        <v>0.0</v>
      </c>
      <c r="AO49" s="31">
        <f>MIN(AO$5,U48+AE49)</f>
        <v>0.0</v>
      </c>
      <c r="AP49" s="31">
        <f>MIN(AP$5,V48+AF49)</f>
        <v>0.0</v>
      </c>
      <c r="AQ49" s="31">
        <f>MIN(AQ$5,W48+AG49)</f>
        <v>0.0</v>
      </c>
      <c r="AR49" s="31">
        <f>MIN(AR$5,X48+AH49)</f>
        <v>0.0</v>
      </c>
      <c r="AS49" s="31">
        <f>MIN(AS$5,Y48+AI49)</f>
        <v>0.0</v>
      </c>
      <c r="AT49" s="31">
        <f>MIN(AT$5,Z48+AJ49)</f>
        <v>0.0</v>
      </c>
      <c r="AU49" s="31">
        <f>MIN(AU$5,AA48+AK49)</f>
        <v>0.0</v>
      </c>
    </row>
    <row r="50">
      <c r="A50" s="25" t="str">
        <f>IF(F49&gt;0.005,45,"")</f>
        <v/>
      </c>
      <c r="B50" s="33" t="str">
        <f>IF(A50="","",EDATE(Долги!$D$5,44))</f>
        <v/>
      </c>
      <c r="C50" s="31">
        <f>SUM(H50:Q50)</f>
        <v>0.0</v>
      </c>
      <c r="D50" s="31">
        <f>SUM(AB50:AK50)</f>
        <v>0.0</v>
      </c>
      <c r="E50" s="31">
        <f>C50-D50</f>
        <v>0.0</v>
      </c>
      <c r="F50" s="31">
        <f>SUM(R50:AA50)</f>
        <v>0.0</v>
      </c>
      <c r="G50" s="34" t="str">
        <f>IF(OR(A50="",$F$5&lt;=0),"",REPT("█",ROUND(20*F50/$F$5,0)))</f>
        <v/>
      </c>
      <c r="H50" s="31">
        <f>AL50+MIN(R49+AB50-AL50,MAX(0,ROUND(Долги!$D$19-SUM($AL50:$AU50),2)))</f>
        <v>0.0</v>
      </c>
      <c r="I50" s="31">
        <f>AM50+MIN(S49+AC50-AM50,MAX(0,ROUND(ROUND(Долги!$D$19-SUM($AL50:$AU50),2)-(SUM($H50:H50)-SUM($AL50:AL50)),2)))</f>
        <v>0.0</v>
      </c>
      <c r="J50" s="31">
        <f>AN50+MIN(T49+AD50-AN50,MAX(0,ROUND(ROUND(Долги!$D$19-SUM($AL50:$AU50),2)-(SUM($H50:I50)-SUM($AL50:AM50)),2)))</f>
        <v>0.0</v>
      </c>
      <c r="K50" s="31">
        <f>AO50+MIN(U49+AE50-AO50,MAX(0,ROUND(ROUND(Долги!$D$19-SUM($AL50:$AU50),2)-(SUM($H50:J50)-SUM($AL50:AN50)),2)))</f>
        <v>0.0</v>
      </c>
      <c r="L50" s="31">
        <f>AP50+MIN(V49+AF50-AP50,MAX(0,ROUND(ROUND(Долги!$D$19-SUM($AL50:$AU50),2)-(SUM($H50:K50)-SUM($AL50:AO50)),2)))</f>
        <v>0.0</v>
      </c>
      <c r="M50" s="31">
        <f>AQ50+MIN(W49+AG50-AQ50,MAX(0,ROUND(ROUND(Долги!$D$19-SUM($AL50:$AU50),2)-(SUM($H50:L50)-SUM($AL50:AP50)),2)))</f>
        <v>0.0</v>
      </c>
      <c r="N50" s="31">
        <f>AR50+MIN(X49+AH50-AR50,MAX(0,ROUND(ROUND(Долги!$D$19-SUM($AL50:$AU50),2)-(SUM($H50:M50)-SUM($AL50:AQ50)),2)))</f>
        <v>0.0</v>
      </c>
      <c r="O50" s="31">
        <f>AS50+MIN(Y49+AI50-AS50,MAX(0,ROUND(ROUND(Долги!$D$19-SUM($AL50:$AU50),2)-(SUM($H50:N50)-SUM($AL50:AR50)),2)))</f>
        <v>0.0</v>
      </c>
      <c r="P50" s="31">
        <f>AT50+MIN(Z49+AJ50-AT50,MAX(0,ROUND(ROUND(Долги!$D$19-SUM($AL50:$AU50),2)-(SUM($H50:O50)-SUM($AL50:AS50)),2)))</f>
        <v>0.0</v>
      </c>
      <c r="Q50" s="31">
        <f>AU50+MIN(AA49+AK50-AU50,MAX(0,ROUND(ROUND(Долги!$D$19-SUM($AL50:$AU50),2)-(SUM($H50:P50)-SUM($AL50:AT50)),2)))</f>
        <v>0.0</v>
      </c>
      <c r="R50" s="31">
        <f>IF(R49+AB50-H50&lt;=0.01,0,ROUND(R49+AB50-H50,2))</f>
        <v>0.0</v>
      </c>
      <c r="S50" s="31">
        <f>IF(S49+AC50-I50&lt;=0.01,0,ROUND(S49+AC50-I50,2))</f>
        <v>0.0</v>
      </c>
      <c r="T50" s="31">
        <f>IF(T49+AD50-J50&lt;=0.01,0,ROUND(T49+AD50-J50,2))</f>
        <v>0.0</v>
      </c>
      <c r="U50" s="31">
        <f>IF(U49+AE50-K50&lt;=0.01,0,ROUND(U49+AE50-K50,2))</f>
        <v>0.0</v>
      </c>
      <c r="V50" s="31">
        <f>IF(V49+AF50-L50&lt;=0.01,0,ROUND(V49+AF50-L50,2))</f>
        <v>0.0</v>
      </c>
      <c r="W50" s="31">
        <f>IF(W49+AG50-M50&lt;=0.01,0,ROUND(W49+AG50-M50,2))</f>
        <v>0.0</v>
      </c>
      <c r="X50" s="31">
        <f>IF(X49+AH50-N50&lt;=0.01,0,ROUND(X49+AH50-N50,2))</f>
        <v>0.0</v>
      </c>
      <c r="Y50" s="31">
        <f>IF(Y49+AI50-O50&lt;=0.01,0,ROUND(Y49+AI50-O50,2))</f>
        <v>0.0</v>
      </c>
      <c r="Z50" s="31">
        <f>IF(Z49+AJ50-P50&lt;=0.01,0,ROUND(Z49+AJ50-P50,2))</f>
        <v>0.0</v>
      </c>
      <c r="AA50" s="31">
        <f>IF(AA49+AK50-Q50&lt;=0.01,0,ROUND(AA49+AK50-Q50,2))</f>
        <v>0.0</v>
      </c>
      <c r="AB50" s="31">
        <f>ROUND(R49*AB$5/1200,2)</f>
        <v>0.0</v>
      </c>
      <c r="AC50" s="31">
        <f>ROUND(S49*AC$5/1200,2)</f>
        <v>0.0</v>
      </c>
      <c r="AD50" s="31">
        <f>ROUND(T49*AD$5/1200,2)</f>
        <v>0.0</v>
      </c>
      <c r="AE50" s="31">
        <f>ROUND(U49*AE$5/1200,2)</f>
        <v>0.0</v>
      </c>
      <c r="AF50" s="31">
        <f>ROUND(V49*AF$5/1200,2)</f>
        <v>0.0</v>
      </c>
      <c r="AG50" s="31">
        <f>ROUND(W49*AG$5/1200,2)</f>
        <v>0.0</v>
      </c>
      <c r="AH50" s="31">
        <f>ROUND(X49*AH$5/1200,2)</f>
        <v>0.0</v>
      </c>
      <c r="AI50" s="31">
        <f>ROUND(Y49*AI$5/1200,2)</f>
        <v>0.0</v>
      </c>
      <c r="AJ50" s="31">
        <f>ROUND(Z49*AJ$5/1200,2)</f>
        <v>0.0</v>
      </c>
      <c r="AK50" s="31">
        <f>ROUND(AA49*AK$5/1200,2)</f>
        <v>0.0</v>
      </c>
      <c r="AL50" s="31">
        <f>MIN(AL$5,R49+AB50)</f>
        <v>0.0</v>
      </c>
      <c r="AM50" s="31">
        <f>MIN(AM$5,S49+AC50)</f>
        <v>0.0</v>
      </c>
      <c r="AN50" s="31">
        <f>MIN(AN$5,T49+AD50)</f>
        <v>0.0</v>
      </c>
      <c r="AO50" s="31">
        <f>MIN(AO$5,U49+AE50)</f>
        <v>0.0</v>
      </c>
      <c r="AP50" s="31">
        <f>MIN(AP$5,V49+AF50)</f>
        <v>0.0</v>
      </c>
      <c r="AQ50" s="31">
        <f>MIN(AQ$5,W49+AG50)</f>
        <v>0.0</v>
      </c>
      <c r="AR50" s="31">
        <f>MIN(AR$5,X49+AH50)</f>
        <v>0.0</v>
      </c>
      <c r="AS50" s="31">
        <f>MIN(AS$5,Y49+AI50)</f>
        <v>0.0</v>
      </c>
      <c r="AT50" s="31">
        <f>MIN(AT$5,Z49+AJ50)</f>
        <v>0.0</v>
      </c>
      <c r="AU50" s="31">
        <f>MIN(AU$5,AA49+AK50)</f>
        <v>0.0</v>
      </c>
    </row>
    <row r="51">
      <c r="A51" s="25" t="str">
        <f>IF(F50&gt;0.005,46,"")</f>
        <v/>
      </c>
      <c r="B51" s="33" t="str">
        <f>IF(A51="","",EDATE(Долги!$D$5,45))</f>
        <v/>
      </c>
      <c r="C51" s="31">
        <f>SUM(H51:Q51)</f>
        <v>0.0</v>
      </c>
      <c r="D51" s="31">
        <f>SUM(AB51:AK51)</f>
        <v>0.0</v>
      </c>
      <c r="E51" s="31">
        <f>C51-D51</f>
        <v>0.0</v>
      </c>
      <c r="F51" s="31">
        <f>SUM(R51:AA51)</f>
        <v>0.0</v>
      </c>
      <c r="G51" s="34" t="str">
        <f>IF(OR(A51="",$F$5&lt;=0),"",REPT("█",ROUND(20*F51/$F$5,0)))</f>
        <v/>
      </c>
      <c r="H51" s="31">
        <f>AL51+MIN(R50+AB51-AL51,MAX(0,ROUND(Долги!$D$19-SUM($AL51:$AU51),2)))</f>
        <v>0.0</v>
      </c>
      <c r="I51" s="31">
        <f>AM51+MIN(S50+AC51-AM51,MAX(0,ROUND(ROUND(Долги!$D$19-SUM($AL51:$AU51),2)-(SUM($H51:H51)-SUM($AL51:AL51)),2)))</f>
        <v>0.0</v>
      </c>
      <c r="J51" s="31">
        <f>AN51+MIN(T50+AD51-AN51,MAX(0,ROUND(ROUND(Долги!$D$19-SUM($AL51:$AU51),2)-(SUM($H51:I51)-SUM($AL51:AM51)),2)))</f>
        <v>0.0</v>
      </c>
      <c r="K51" s="31">
        <f>AO51+MIN(U50+AE51-AO51,MAX(0,ROUND(ROUND(Долги!$D$19-SUM($AL51:$AU51),2)-(SUM($H51:J51)-SUM($AL51:AN51)),2)))</f>
        <v>0.0</v>
      </c>
      <c r="L51" s="31">
        <f>AP51+MIN(V50+AF51-AP51,MAX(0,ROUND(ROUND(Долги!$D$19-SUM($AL51:$AU51),2)-(SUM($H51:K51)-SUM($AL51:AO51)),2)))</f>
        <v>0.0</v>
      </c>
      <c r="M51" s="31">
        <f>AQ51+MIN(W50+AG51-AQ51,MAX(0,ROUND(ROUND(Долги!$D$19-SUM($AL51:$AU51),2)-(SUM($H51:L51)-SUM($AL51:AP51)),2)))</f>
        <v>0.0</v>
      </c>
      <c r="N51" s="31">
        <f>AR51+MIN(X50+AH51-AR51,MAX(0,ROUND(ROUND(Долги!$D$19-SUM($AL51:$AU51),2)-(SUM($H51:M51)-SUM($AL51:AQ51)),2)))</f>
        <v>0.0</v>
      </c>
      <c r="O51" s="31">
        <f>AS51+MIN(Y50+AI51-AS51,MAX(0,ROUND(ROUND(Долги!$D$19-SUM($AL51:$AU51),2)-(SUM($H51:N51)-SUM($AL51:AR51)),2)))</f>
        <v>0.0</v>
      </c>
      <c r="P51" s="31">
        <f>AT51+MIN(Z50+AJ51-AT51,MAX(0,ROUND(ROUND(Долги!$D$19-SUM($AL51:$AU51),2)-(SUM($H51:O51)-SUM($AL51:AS51)),2)))</f>
        <v>0.0</v>
      </c>
      <c r="Q51" s="31">
        <f>AU51+MIN(AA50+AK51-AU51,MAX(0,ROUND(ROUND(Долги!$D$19-SUM($AL51:$AU51),2)-(SUM($H51:P51)-SUM($AL51:AT51)),2)))</f>
        <v>0.0</v>
      </c>
      <c r="R51" s="31">
        <f>IF(R50+AB51-H51&lt;=0.01,0,ROUND(R50+AB51-H51,2))</f>
        <v>0.0</v>
      </c>
      <c r="S51" s="31">
        <f>IF(S50+AC51-I51&lt;=0.01,0,ROUND(S50+AC51-I51,2))</f>
        <v>0.0</v>
      </c>
      <c r="T51" s="31">
        <f>IF(T50+AD51-J51&lt;=0.01,0,ROUND(T50+AD51-J51,2))</f>
        <v>0.0</v>
      </c>
      <c r="U51" s="31">
        <f>IF(U50+AE51-K51&lt;=0.01,0,ROUND(U50+AE51-K51,2))</f>
        <v>0.0</v>
      </c>
      <c r="V51" s="31">
        <f>IF(V50+AF51-L51&lt;=0.01,0,ROUND(V50+AF51-L51,2))</f>
        <v>0.0</v>
      </c>
      <c r="W51" s="31">
        <f>IF(W50+AG51-M51&lt;=0.01,0,ROUND(W50+AG51-M51,2))</f>
        <v>0.0</v>
      </c>
      <c r="X51" s="31">
        <f>IF(X50+AH51-N51&lt;=0.01,0,ROUND(X50+AH51-N51,2))</f>
        <v>0.0</v>
      </c>
      <c r="Y51" s="31">
        <f>IF(Y50+AI51-O51&lt;=0.01,0,ROUND(Y50+AI51-O51,2))</f>
        <v>0.0</v>
      </c>
      <c r="Z51" s="31">
        <f>IF(Z50+AJ51-P51&lt;=0.01,0,ROUND(Z50+AJ51-P51,2))</f>
        <v>0.0</v>
      </c>
      <c r="AA51" s="31">
        <f>IF(AA50+AK51-Q51&lt;=0.01,0,ROUND(AA50+AK51-Q51,2))</f>
        <v>0.0</v>
      </c>
      <c r="AB51" s="31">
        <f>ROUND(R50*AB$5/1200,2)</f>
        <v>0.0</v>
      </c>
      <c r="AC51" s="31">
        <f>ROUND(S50*AC$5/1200,2)</f>
        <v>0.0</v>
      </c>
      <c r="AD51" s="31">
        <f>ROUND(T50*AD$5/1200,2)</f>
        <v>0.0</v>
      </c>
      <c r="AE51" s="31">
        <f>ROUND(U50*AE$5/1200,2)</f>
        <v>0.0</v>
      </c>
      <c r="AF51" s="31">
        <f>ROUND(V50*AF$5/1200,2)</f>
        <v>0.0</v>
      </c>
      <c r="AG51" s="31">
        <f>ROUND(W50*AG$5/1200,2)</f>
        <v>0.0</v>
      </c>
      <c r="AH51" s="31">
        <f>ROUND(X50*AH$5/1200,2)</f>
        <v>0.0</v>
      </c>
      <c r="AI51" s="31">
        <f>ROUND(Y50*AI$5/1200,2)</f>
        <v>0.0</v>
      </c>
      <c r="AJ51" s="31">
        <f>ROUND(Z50*AJ$5/1200,2)</f>
        <v>0.0</v>
      </c>
      <c r="AK51" s="31">
        <f>ROUND(AA50*AK$5/1200,2)</f>
        <v>0.0</v>
      </c>
      <c r="AL51" s="31">
        <f>MIN(AL$5,R50+AB51)</f>
        <v>0.0</v>
      </c>
      <c r="AM51" s="31">
        <f>MIN(AM$5,S50+AC51)</f>
        <v>0.0</v>
      </c>
      <c r="AN51" s="31">
        <f>MIN(AN$5,T50+AD51)</f>
        <v>0.0</v>
      </c>
      <c r="AO51" s="31">
        <f>MIN(AO$5,U50+AE51)</f>
        <v>0.0</v>
      </c>
      <c r="AP51" s="31">
        <f>MIN(AP$5,V50+AF51)</f>
        <v>0.0</v>
      </c>
      <c r="AQ51" s="31">
        <f>MIN(AQ$5,W50+AG51)</f>
        <v>0.0</v>
      </c>
      <c r="AR51" s="31">
        <f>MIN(AR$5,X50+AH51)</f>
        <v>0.0</v>
      </c>
      <c r="AS51" s="31">
        <f>MIN(AS$5,Y50+AI51)</f>
        <v>0.0</v>
      </c>
      <c r="AT51" s="31">
        <f>MIN(AT$5,Z50+AJ51)</f>
        <v>0.0</v>
      </c>
      <c r="AU51" s="31">
        <f>MIN(AU$5,AA50+AK51)</f>
        <v>0.0</v>
      </c>
    </row>
    <row r="52">
      <c r="A52" s="25" t="str">
        <f>IF(F51&gt;0.005,47,"")</f>
        <v/>
      </c>
      <c r="B52" s="33" t="str">
        <f>IF(A52="","",EDATE(Долги!$D$5,46))</f>
        <v/>
      </c>
      <c r="C52" s="31">
        <f>SUM(H52:Q52)</f>
        <v>0.0</v>
      </c>
      <c r="D52" s="31">
        <f>SUM(AB52:AK52)</f>
        <v>0.0</v>
      </c>
      <c r="E52" s="31">
        <f>C52-D52</f>
        <v>0.0</v>
      </c>
      <c r="F52" s="31">
        <f>SUM(R52:AA52)</f>
        <v>0.0</v>
      </c>
      <c r="G52" s="34" t="str">
        <f>IF(OR(A52="",$F$5&lt;=0),"",REPT("█",ROUND(20*F52/$F$5,0)))</f>
        <v/>
      </c>
      <c r="H52" s="31">
        <f>AL52+MIN(R51+AB52-AL52,MAX(0,ROUND(Долги!$D$19-SUM($AL52:$AU52),2)))</f>
        <v>0.0</v>
      </c>
      <c r="I52" s="31">
        <f>AM52+MIN(S51+AC52-AM52,MAX(0,ROUND(ROUND(Долги!$D$19-SUM($AL52:$AU52),2)-(SUM($H52:H52)-SUM($AL52:AL52)),2)))</f>
        <v>0.0</v>
      </c>
      <c r="J52" s="31">
        <f>AN52+MIN(T51+AD52-AN52,MAX(0,ROUND(ROUND(Долги!$D$19-SUM($AL52:$AU52),2)-(SUM($H52:I52)-SUM($AL52:AM52)),2)))</f>
        <v>0.0</v>
      </c>
      <c r="K52" s="31">
        <f>AO52+MIN(U51+AE52-AO52,MAX(0,ROUND(ROUND(Долги!$D$19-SUM($AL52:$AU52),2)-(SUM($H52:J52)-SUM($AL52:AN52)),2)))</f>
        <v>0.0</v>
      </c>
      <c r="L52" s="31">
        <f>AP52+MIN(V51+AF52-AP52,MAX(0,ROUND(ROUND(Долги!$D$19-SUM($AL52:$AU52),2)-(SUM($H52:K52)-SUM($AL52:AO52)),2)))</f>
        <v>0.0</v>
      </c>
      <c r="M52" s="31">
        <f>AQ52+MIN(W51+AG52-AQ52,MAX(0,ROUND(ROUND(Долги!$D$19-SUM($AL52:$AU52),2)-(SUM($H52:L52)-SUM($AL52:AP52)),2)))</f>
        <v>0.0</v>
      </c>
      <c r="N52" s="31">
        <f>AR52+MIN(X51+AH52-AR52,MAX(0,ROUND(ROUND(Долги!$D$19-SUM($AL52:$AU52),2)-(SUM($H52:M52)-SUM($AL52:AQ52)),2)))</f>
        <v>0.0</v>
      </c>
      <c r="O52" s="31">
        <f>AS52+MIN(Y51+AI52-AS52,MAX(0,ROUND(ROUND(Долги!$D$19-SUM($AL52:$AU52),2)-(SUM($H52:N52)-SUM($AL52:AR52)),2)))</f>
        <v>0.0</v>
      </c>
      <c r="P52" s="31">
        <f>AT52+MIN(Z51+AJ52-AT52,MAX(0,ROUND(ROUND(Долги!$D$19-SUM($AL52:$AU52),2)-(SUM($H52:O52)-SUM($AL52:AS52)),2)))</f>
        <v>0.0</v>
      </c>
      <c r="Q52" s="31">
        <f>AU52+MIN(AA51+AK52-AU52,MAX(0,ROUND(ROUND(Долги!$D$19-SUM($AL52:$AU52),2)-(SUM($H52:P52)-SUM($AL52:AT52)),2)))</f>
        <v>0.0</v>
      </c>
      <c r="R52" s="31">
        <f>IF(R51+AB52-H52&lt;=0.01,0,ROUND(R51+AB52-H52,2))</f>
        <v>0.0</v>
      </c>
      <c r="S52" s="31">
        <f>IF(S51+AC52-I52&lt;=0.01,0,ROUND(S51+AC52-I52,2))</f>
        <v>0.0</v>
      </c>
      <c r="T52" s="31">
        <f>IF(T51+AD52-J52&lt;=0.01,0,ROUND(T51+AD52-J52,2))</f>
        <v>0.0</v>
      </c>
      <c r="U52" s="31">
        <f>IF(U51+AE52-K52&lt;=0.01,0,ROUND(U51+AE52-K52,2))</f>
        <v>0.0</v>
      </c>
      <c r="V52" s="31">
        <f>IF(V51+AF52-L52&lt;=0.01,0,ROUND(V51+AF52-L52,2))</f>
        <v>0.0</v>
      </c>
      <c r="W52" s="31">
        <f>IF(W51+AG52-M52&lt;=0.01,0,ROUND(W51+AG52-M52,2))</f>
        <v>0.0</v>
      </c>
      <c r="X52" s="31">
        <f>IF(X51+AH52-N52&lt;=0.01,0,ROUND(X51+AH52-N52,2))</f>
        <v>0.0</v>
      </c>
      <c r="Y52" s="31">
        <f>IF(Y51+AI52-O52&lt;=0.01,0,ROUND(Y51+AI52-O52,2))</f>
        <v>0.0</v>
      </c>
      <c r="Z52" s="31">
        <f>IF(Z51+AJ52-P52&lt;=0.01,0,ROUND(Z51+AJ52-P52,2))</f>
        <v>0.0</v>
      </c>
      <c r="AA52" s="31">
        <f>IF(AA51+AK52-Q52&lt;=0.01,0,ROUND(AA51+AK52-Q52,2))</f>
        <v>0.0</v>
      </c>
      <c r="AB52" s="31">
        <f>ROUND(R51*AB$5/1200,2)</f>
        <v>0.0</v>
      </c>
      <c r="AC52" s="31">
        <f>ROUND(S51*AC$5/1200,2)</f>
        <v>0.0</v>
      </c>
      <c r="AD52" s="31">
        <f>ROUND(T51*AD$5/1200,2)</f>
        <v>0.0</v>
      </c>
      <c r="AE52" s="31">
        <f>ROUND(U51*AE$5/1200,2)</f>
        <v>0.0</v>
      </c>
      <c r="AF52" s="31">
        <f>ROUND(V51*AF$5/1200,2)</f>
        <v>0.0</v>
      </c>
      <c r="AG52" s="31">
        <f>ROUND(W51*AG$5/1200,2)</f>
        <v>0.0</v>
      </c>
      <c r="AH52" s="31">
        <f>ROUND(X51*AH$5/1200,2)</f>
        <v>0.0</v>
      </c>
      <c r="AI52" s="31">
        <f>ROUND(Y51*AI$5/1200,2)</f>
        <v>0.0</v>
      </c>
      <c r="AJ52" s="31">
        <f>ROUND(Z51*AJ$5/1200,2)</f>
        <v>0.0</v>
      </c>
      <c r="AK52" s="31">
        <f>ROUND(AA51*AK$5/1200,2)</f>
        <v>0.0</v>
      </c>
      <c r="AL52" s="31">
        <f>MIN(AL$5,R51+AB52)</f>
        <v>0.0</v>
      </c>
      <c r="AM52" s="31">
        <f>MIN(AM$5,S51+AC52)</f>
        <v>0.0</v>
      </c>
      <c r="AN52" s="31">
        <f>MIN(AN$5,T51+AD52)</f>
        <v>0.0</v>
      </c>
      <c r="AO52" s="31">
        <f>MIN(AO$5,U51+AE52)</f>
        <v>0.0</v>
      </c>
      <c r="AP52" s="31">
        <f>MIN(AP$5,V51+AF52)</f>
        <v>0.0</v>
      </c>
      <c r="AQ52" s="31">
        <f>MIN(AQ$5,W51+AG52)</f>
        <v>0.0</v>
      </c>
      <c r="AR52" s="31">
        <f>MIN(AR$5,X51+AH52)</f>
        <v>0.0</v>
      </c>
      <c r="AS52" s="31">
        <f>MIN(AS$5,Y51+AI52)</f>
        <v>0.0</v>
      </c>
      <c r="AT52" s="31">
        <f>MIN(AT$5,Z51+AJ52)</f>
        <v>0.0</v>
      </c>
      <c r="AU52" s="31">
        <f>MIN(AU$5,AA51+AK52)</f>
        <v>0.0</v>
      </c>
    </row>
    <row r="53">
      <c r="A53" s="25" t="str">
        <f>IF(F52&gt;0.005,48,"")</f>
        <v/>
      </c>
      <c r="B53" s="33" t="str">
        <f>IF(A53="","",EDATE(Долги!$D$5,47))</f>
        <v/>
      </c>
      <c r="C53" s="31">
        <f>SUM(H53:Q53)</f>
        <v>0.0</v>
      </c>
      <c r="D53" s="31">
        <f>SUM(AB53:AK53)</f>
        <v>0.0</v>
      </c>
      <c r="E53" s="31">
        <f>C53-D53</f>
        <v>0.0</v>
      </c>
      <c r="F53" s="31">
        <f>SUM(R53:AA53)</f>
        <v>0.0</v>
      </c>
      <c r="G53" s="34" t="str">
        <f>IF(OR(A53="",$F$5&lt;=0),"",REPT("█",ROUND(20*F53/$F$5,0)))</f>
        <v/>
      </c>
      <c r="H53" s="31">
        <f>AL53+MIN(R52+AB53-AL53,MAX(0,ROUND(Долги!$D$19-SUM($AL53:$AU53),2)))</f>
        <v>0.0</v>
      </c>
      <c r="I53" s="31">
        <f>AM53+MIN(S52+AC53-AM53,MAX(0,ROUND(ROUND(Долги!$D$19-SUM($AL53:$AU53),2)-(SUM($H53:H53)-SUM($AL53:AL53)),2)))</f>
        <v>0.0</v>
      </c>
      <c r="J53" s="31">
        <f>AN53+MIN(T52+AD53-AN53,MAX(0,ROUND(ROUND(Долги!$D$19-SUM($AL53:$AU53),2)-(SUM($H53:I53)-SUM($AL53:AM53)),2)))</f>
        <v>0.0</v>
      </c>
      <c r="K53" s="31">
        <f>AO53+MIN(U52+AE53-AO53,MAX(0,ROUND(ROUND(Долги!$D$19-SUM($AL53:$AU53),2)-(SUM($H53:J53)-SUM($AL53:AN53)),2)))</f>
        <v>0.0</v>
      </c>
      <c r="L53" s="31">
        <f>AP53+MIN(V52+AF53-AP53,MAX(0,ROUND(ROUND(Долги!$D$19-SUM($AL53:$AU53),2)-(SUM($H53:K53)-SUM($AL53:AO53)),2)))</f>
        <v>0.0</v>
      </c>
      <c r="M53" s="31">
        <f>AQ53+MIN(W52+AG53-AQ53,MAX(0,ROUND(ROUND(Долги!$D$19-SUM($AL53:$AU53),2)-(SUM($H53:L53)-SUM($AL53:AP53)),2)))</f>
        <v>0.0</v>
      </c>
      <c r="N53" s="31">
        <f>AR53+MIN(X52+AH53-AR53,MAX(0,ROUND(ROUND(Долги!$D$19-SUM($AL53:$AU53),2)-(SUM($H53:M53)-SUM($AL53:AQ53)),2)))</f>
        <v>0.0</v>
      </c>
      <c r="O53" s="31">
        <f>AS53+MIN(Y52+AI53-AS53,MAX(0,ROUND(ROUND(Долги!$D$19-SUM($AL53:$AU53),2)-(SUM($H53:N53)-SUM($AL53:AR53)),2)))</f>
        <v>0.0</v>
      </c>
      <c r="P53" s="31">
        <f>AT53+MIN(Z52+AJ53-AT53,MAX(0,ROUND(ROUND(Долги!$D$19-SUM($AL53:$AU53),2)-(SUM($H53:O53)-SUM($AL53:AS53)),2)))</f>
        <v>0.0</v>
      </c>
      <c r="Q53" s="31">
        <f>AU53+MIN(AA52+AK53-AU53,MAX(0,ROUND(ROUND(Долги!$D$19-SUM($AL53:$AU53),2)-(SUM($H53:P53)-SUM($AL53:AT53)),2)))</f>
        <v>0.0</v>
      </c>
      <c r="R53" s="31">
        <f>IF(R52+AB53-H53&lt;=0.01,0,ROUND(R52+AB53-H53,2))</f>
        <v>0.0</v>
      </c>
      <c r="S53" s="31">
        <f>IF(S52+AC53-I53&lt;=0.01,0,ROUND(S52+AC53-I53,2))</f>
        <v>0.0</v>
      </c>
      <c r="T53" s="31">
        <f>IF(T52+AD53-J53&lt;=0.01,0,ROUND(T52+AD53-J53,2))</f>
        <v>0.0</v>
      </c>
      <c r="U53" s="31">
        <f>IF(U52+AE53-K53&lt;=0.01,0,ROUND(U52+AE53-K53,2))</f>
        <v>0.0</v>
      </c>
      <c r="V53" s="31">
        <f>IF(V52+AF53-L53&lt;=0.01,0,ROUND(V52+AF53-L53,2))</f>
        <v>0.0</v>
      </c>
      <c r="W53" s="31">
        <f>IF(W52+AG53-M53&lt;=0.01,0,ROUND(W52+AG53-M53,2))</f>
        <v>0.0</v>
      </c>
      <c r="X53" s="31">
        <f>IF(X52+AH53-N53&lt;=0.01,0,ROUND(X52+AH53-N53,2))</f>
        <v>0.0</v>
      </c>
      <c r="Y53" s="31">
        <f>IF(Y52+AI53-O53&lt;=0.01,0,ROUND(Y52+AI53-O53,2))</f>
        <v>0.0</v>
      </c>
      <c r="Z53" s="31">
        <f>IF(Z52+AJ53-P53&lt;=0.01,0,ROUND(Z52+AJ53-P53,2))</f>
        <v>0.0</v>
      </c>
      <c r="AA53" s="31">
        <f>IF(AA52+AK53-Q53&lt;=0.01,0,ROUND(AA52+AK53-Q53,2))</f>
        <v>0.0</v>
      </c>
      <c r="AB53" s="31">
        <f>ROUND(R52*AB$5/1200,2)</f>
        <v>0.0</v>
      </c>
      <c r="AC53" s="31">
        <f>ROUND(S52*AC$5/1200,2)</f>
        <v>0.0</v>
      </c>
      <c r="AD53" s="31">
        <f>ROUND(T52*AD$5/1200,2)</f>
        <v>0.0</v>
      </c>
      <c r="AE53" s="31">
        <f>ROUND(U52*AE$5/1200,2)</f>
        <v>0.0</v>
      </c>
      <c r="AF53" s="31">
        <f>ROUND(V52*AF$5/1200,2)</f>
        <v>0.0</v>
      </c>
      <c r="AG53" s="31">
        <f>ROUND(W52*AG$5/1200,2)</f>
        <v>0.0</v>
      </c>
      <c r="AH53" s="31">
        <f>ROUND(X52*AH$5/1200,2)</f>
        <v>0.0</v>
      </c>
      <c r="AI53" s="31">
        <f>ROUND(Y52*AI$5/1200,2)</f>
        <v>0.0</v>
      </c>
      <c r="AJ53" s="31">
        <f>ROUND(Z52*AJ$5/1200,2)</f>
        <v>0.0</v>
      </c>
      <c r="AK53" s="31">
        <f>ROUND(AA52*AK$5/1200,2)</f>
        <v>0.0</v>
      </c>
      <c r="AL53" s="31">
        <f>MIN(AL$5,R52+AB53)</f>
        <v>0.0</v>
      </c>
      <c r="AM53" s="31">
        <f>MIN(AM$5,S52+AC53)</f>
        <v>0.0</v>
      </c>
      <c r="AN53" s="31">
        <f>MIN(AN$5,T52+AD53)</f>
        <v>0.0</v>
      </c>
      <c r="AO53" s="31">
        <f>MIN(AO$5,U52+AE53)</f>
        <v>0.0</v>
      </c>
      <c r="AP53" s="31">
        <f>MIN(AP$5,V52+AF53)</f>
        <v>0.0</v>
      </c>
      <c r="AQ53" s="31">
        <f>MIN(AQ$5,W52+AG53)</f>
        <v>0.0</v>
      </c>
      <c r="AR53" s="31">
        <f>MIN(AR$5,X52+AH53)</f>
        <v>0.0</v>
      </c>
      <c r="AS53" s="31">
        <f>MIN(AS$5,Y52+AI53)</f>
        <v>0.0</v>
      </c>
      <c r="AT53" s="31">
        <f>MIN(AT$5,Z52+AJ53)</f>
        <v>0.0</v>
      </c>
      <c r="AU53" s="31">
        <f>MIN(AU$5,AA52+AK53)</f>
        <v>0.0</v>
      </c>
    </row>
    <row r="54">
      <c r="A54" s="25" t="str">
        <f>IF(F53&gt;0.005,49,"")</f>
        <v/>
      </c>
      <c r="B54" s="33" t="str">
        <f>IF(A54="","",EDATE(Долги!$D$5,48))</f>
        <v/>
      </c>
      <c r="C54" s="31">
        <f>SUM(H54:Q54)</f>
        <v>0.0</v>
      </c>
      <c r="D54" s="31">
        <f>SUM(AB54:AK54)</f>
        <v>0.0</v>
      </c>
      <c r="E54" s="31">
        <f>C54-D54</f>
        <v>0.0</v>
      </c>
      <c r="F54" s="31">
        <f>SUM(R54:AA54)</f>
        <v>0.0</v>
      </c>
      <c r="G54" s="34" t="str">
        <f>IF(OR(A54="",$F$5&lt;=0),"",REPT("█",ROUND(20*F54/$F$5,0)))</f>
        <v/>
      </c>
      <c r="H54" s="31">
        <f>AL54+MIN(R53+AB54-AL54,MAX(0,ROUND(Долги!$D$19-SUM($AL54:$AU54),2)))</f>
        <v>0.0</v>
      </c>
      <c r="I54" s="31">
        <f>AM54+MIN(S53+AC54-AM54,MAX(0,ROUND(ROUND(Долги!$D$19-SUM($AL54:$AU54),2)-(SUM($H54:H54)-SUM($AL54:AL54)),2)))</f>
        <v>0.0</v>
      </c>
      <c r="J54" s="31">
        <f>AN54+MIN(T53+AD54-AN54,MAX(0,ROUND(ROUND(Долги!$D$19-SUM($AL54:$AU54),2)-(SUM($H54:I54)-SUM($AL54:AM54)),2)))</f>
        <v>0.0</v>
      </c>
      <c r="K54" s="31">
        <f>AO54+MIN(U53+AE54-AO54,MAX(0,ROUND(ROUND(Долги!$D$19-SUM($AL54:$AU54),2)-(SUM($H54:J54)-SUM($AL54:AN54)),2)))</f>
        <v>0.0</v>
      </c>
      <c r="L54" s="31">
        <f>AP54+MIN(V53+AF54-AP54,MAX(0,ROUND(ROUND(Долги!$D$19-SUM($AL54:$AU54),2)-(SUM($H54:K54)-SUM($AL54:AO54)),2)))</f>
        <v>0.0</v>
      </c>
      <c r="M54" s="31">
        <f>AQ54+MIN(W53+AG54-AQ54,MAX(0,ROUND(ROUND(Долги!$D$19-SUM($AL54:$AU54),2)-(SUM($H54:L54)-SUM($AL54:AP54)),2)))</f>
        <v>0.0</v>
      </c>
      <c r="N54" s="31">
        <f>AR54+MIN(X53+AH54-AR54,MAX(0,ROUND(ROUND(Долги!$D$19-SUM($AL54:$AU54),2)-(SUM($H54:M54)-SUM($AL54:AQ54)),2)))</f>
        <v>0.0</v>
      </c>
      <c r="O54" s="31">
        <f>AS54+MIN(Y53+AI54-AS54,MAX(0,ROUND(ROUND(Долги!$D$19-SUM($AL54:$AU54),2)-(SUM($H54:N54)-SUM($AL54:AR54)),2)))</f>
        <v>0.0</v>
      </c>
      <c r="P54" s="31">
        <f>AT54+MIN(Z53+AJ54-AT54,MAX(0,ROUND(ROUND(Долги!$D$19-SUM($AL54:$AU54),2)-(SUM($H54:O54)-SUM($AL54:AS54)),2)))</f>
        <v>0.0</v>
      </c>
      <c r="Q54" s="31">
        <f>AU54+MIN(AA53+AK54-AU54,MAX(0,ROUND(ROUND(Долги!$D$19-SUM($AL54:$AU54),2)-(SUM($H54:P54)-SUM($AL54:AT54)),2)))</f>
        <v>0.0</v>
      </c>
      <c r="R54" s="31">
        <f>IF(R53+AB54-H54&lt;=0.01,0,ROUND(R53+AB54-H54,2))</f>
        <v>0.0</v>
      </c>
      <c r="S54" s="31">
        <f>IF(S53+AC54-I54&lt;=0.01,0,ROUND(S53+AC54-I54,2))</f>
        <v>0.0</v>
      </c>
      <c r="T54" s="31">
        <f>IF(T53+AD54-J54&lt;=0.01,0,ROUND(T53+AD54-J54,2))</f>
        <v>0.0</v>
      </c>
      <c r="U54" s="31">
        <f>IF(U53+AE54-K54&lt;=0.01,0,ROUND(U53+AE54-K54,2))</f>
        <v>0.0</v>
      </c>
      <c r="V54" s="31">
        <f>IF(V53+AF54-L54&lt;=0.01,0,ROUND(V53+AF54-L54,2))</f>
        <v>0.0</v>
      </c>
      <c r="W54" s="31">
        <f>IF(W53+AG54-M54&lt;=0.01,0,ROUND(W53+AG54-M54,2))</f>
        <v>0.0</v>
      </c>
      <c r="X54" s="31">
        <f>IF(X53+AH54-N54&lt;=0.01,0,ROUND(X53+AH54-N54,2))</f>
        <v>0.0</v>
      </c>
      <c r="Y54" s="31">
        <f>IF(Y53+AI54-O54&lt;=0.01,0,ROUND(Y53+AI54-O54,2))</f>
        <v>0.0</v>
      </c>
      <c r="Z54" s="31">
        <f>IF(Z53+AJ54-P54&lt;=0.01,0,ROUND(Z53+AJ54-P54,2))</f>
        <v>0.0</v>
      </c>
      <c r="AA54" s="31">
        <f>IF(AA53+AK54-Q54&lt;=0.01,0,ROUND(AA53+AK54-Q54,2))</f>
        <v>0.0</v>
      </c>
      <c r="AB54" s="31">
        <f>ROUND(R53*AB$5/1200,2)</f>
        <v>0.0</v>
      </c>
      <c r="AC54" s="31">
        <f>ROUND(S53*AC$5/1200,2)</f>
        <v>0.0</v>
      </c>
      <c r="AD54" s="31">
        <f>ROUND(T53*AD$5/1200,2)</f>
        <v>0.0</v>
      </c>
      <c r="AE54" s="31">
        <f>ROUND(U53*AE$5/1200,2)</f>
        <v>0.0</v>
      </c>
      <c r="AF54" s="31">
        <f>ROUND(V53*AF$5/1200,2)</f>
        <v>0.0</v>
      </c>
      <c r="AG54" s="31">
        <f>ROUND(W53*AG$5/1200,2)</f>
        <v>0.0</v>
      </c>
      <c r="AH54" s="31">
        <f>ROUND(X53*AH$5/1200,2)</f>
        <v>0.0</v>
      </c>
      <c r="AI54" s="31">
        <f>ROUND(Y53*AI$5/1200,2)</f>
        <v>0.0</v>
      </c>
      <c r="AJ54" s="31">
        <f>ROUND(Z53*AJ$5/1200,2)</f>
        <v>0.0</v>
      </c>
      <c r="AK54" s="31">
        <f>ROUND(AA53*AK$5/1200,2)</f>
        <v>0.0</v>
      </c>
      <c r="AL54" s="31">
        <f>MIN(AL$5,R53+AB54)</f>
        <v>0.0</v>
      </c>
      <c r="AM54" s="31">
        <f>MIN(AM$5,S53+AC54)</f>
        <v>0.0</v>
      </c>
      <c r="AN54" s="31">
        <f>MIN(AN$5,T53+AD54)</f>
        <v>0.0</v>
      </c>
      <c r="AO54" s="31">
        <f>MIN(AO$5,U53+AE54)</f>
        <v>0.0</v>
      </c>
      <c r="AP54" s="31">
        <f>MIN(AP$5,V53+AF54)</f>
        <v>0.0</v>
      </c>
      <c r="AQ54" s="31">
        <f>MIN(AQ$5,W53+AG54)</f>
        <v>0.0</v>
      </c>
      <c r="AR54" s="31">
        <f>MIN(AR$5,X53+AH54)</f>
        <v>0.0</v>
      </c>
      <c r="AS54" s="31">
        <f>MIN(AS$5,Y53+AI54)</f>
        <v>0.0</v>
      </c>
      <c r="AT54" s="31">
        <f>MIN(AT$5,Z53+AJ54)</f>
        <v>0.0</v>
      </c>
      <c r="AU54" s="31">
        <f>MIN(AU$5,AA53+AK54)</f>
        <v>0.0</v>
      </c>
    </row>
    <row r="55">
      <c r="A55" s="25" t="str">
        <f>IF(F54&gt;0.005,50,"")</f>
        <v/>
      </c>
      <c r="B55" s="33" t="str">
        <f>IF(A55="","",EDATE(Долги!$D$5,49))</f>
        <v/>
      </c>
      <c r="C55" s="31">
        <f>SUM(H55:Q55)</f>
        <v>0.0</v>
      </c>
      <c r="D55" s="31">
        <f>SUM(AB55:AK55)</f>
        <v>0.0</v>
      </c>
      <c r="E55" s="31">
        <f>C55-D55</f>
        <v>0.0</v>
      </c>
      <c r="F55" s="31">
        <f>SUM(R55:AA55)</f>
        <v>0.0</v>
      </c>
      <c r="G55" s="34" t="str">
        <f>IF(OR(A55="",$F$5&lt;=0),"",REPT("█",ROUND(20*F55/$F$5,0)))</f>
        <v/>
      </c>
      <c r="H55" s="31">
        <f>AL55+MIN(R54+AB55-AL55,MAX(0,ROUND(Долги!$D$19-SUM($AL55:$AU55),2)))</f>
        <v>0.0</v>
      </c>
      <c r="I55" s="31">
        <f>AM55+MIN(S54+AC55-AM55,MAX(0,ROUND(ROUND(Долги!$D$19-SUM($AL55:$AU55),2)-(SUM($H55:H55)-SUM($AL55:AL55)),2)))</f>
        <v>0.0</v>
      </c>
      <c r="J55" s="31">
        <f>AN55+MIN(T54+AD55-AN55,MAX(0,ROUND(ROUND(Долги!$D$19-SUM($AL55:$AU55),2)-(SUM($H55:I55)-SUM($AL55:AM55)),2)))</f>
        <v>0.0</v>
      </c>
      <c r="K55" s="31">
        <f>AO55+MIN(U54+AE55-AO55,MAX(0,ROUND(ROUND(Долги!$D$19-SUM($AL55:$AU55),2)-(SUM($H55:J55)-SUM($AL55:AN55)),2)))</f>
        <v>0.0</v>
      </c>
      <c r="L55" s="31">
        <f>AP55+MIN(V54+AF55-AP55,MAX(0,ROUND(ROUND(Долги!$D$19-SUM($AL55:$AU55),2)-(SUM($H55:K55)-SUM($AL55:AO55)),2)))</f>
        <v>0.0</v>
      </c>
      <c r="M55" s="31">
        <f>AQ55+MIN(W54+AG55-AQ55,MAX(0,ROUND(ROUND(Долги!$D$19-SUM($AL55:$AU55),2)-(SUM($H55:L55)-SUM($AL55:AP55)),2)))</f>
        <v>0.0</v>
      </c>
      <c r="N55" s="31">
        <f>AR55+MIN(X54+AH55-AR55,MAX(0,ROUND(ROUND(Долги!$D$19-SUM($AL55:$AU55),2)-(SUM($H55:M55)-SUM($AL55:AQ55)),2)))</f>
        <v>0.0</v>
      </c>
      <c r="O55" s="31">
        <f>AS55+MIN(Y54+AI55-AS55,MAX(0,ROUND(ROUND(Долги!$D$19-SUM($AL55:$AU55),2)-(SUM($H55:N55)-SUM($AL55:AR55)),2)))</f>
        <v>0.0</v>
      </c>
      <c r="P55" s="31">
        <f>AT55+MIN(Z54+AJ55-AT55,MAX(0,ROUND(ROUND(Долги!$D$19-SUM($AL55:$AU55),2)-(SUM($H55:O55)-SUM($AL55:AS55)),2)))</f>
        <v>0.0</v>
      </c>
      <c r="Q55" s="31">
        <f>AU55+MIN(AA54+AK55-AU55,MAX(0,ROUND(ROUND(Долги!$D$19-SUM($AL55:$AU55),2)-(SUM($H55:P55)-SUM($AL55:AT55)),2)))</f>
        <v>0.0</v>
      </c>
      <c r="R55" s="31">
        <f>IF(R54+AB55-H55&lt;=0.01,0,ROUND(R54+AB55-H55,2))</f>
        <v>0.0</v>
      </c>
      <c r="S55" s="31">
        <f>IF(S54+AC55-I55&lt;=0.01,0,ROUND(S54+AC55-I55,2))</f>
        <v>0.0</v>
      </c>
      <c r="T55" s="31">
        <f>IF(T54+AD55-J55&lt;=0.01,0,ROUND(T54+AD55-J55,2))</f>
        <v>0.0</v>
      </c>
      <c r="U55" s="31">
        <f>IF(U54+AE55-K55&lt;=0.01,0,ROUND(U54+AE55-K55,2))</f>
        <v>0.0</v>
      </c>
      <c r="V55" s="31">
        <f>IF(V54+AF55-L55&lt;=0.01,0,ROUND(V54+AF55-L55,2))</f>
        <v>0.0</v>
      </c>
      <c r="W55" s="31">
        <f>IF(W54+AG55-M55&lt;=0.01,0,ROUND(W54+AG55-M55,2))</f>
        <v>0.0</v>
      </c>
      <c r="X55" s="31">
        <f>IF(X54+AH55-N55&lt;=0.01,0,ROUND(X54+AH55-N55,2))</f>
        <v>0.0</v>
      </c>
      <c r="Y55" s="31">
        <f>IF(Y54+AI55-O55&lt;=0.01,0,ROUND(Y54+AI55-O55,2))</f>
        <v>0.0</v>
      </c>
      <c r="Z55" s="31">
        <f>IF(Z54+AJ55-P55&lt;=0.01,0,ROUND(Z54+AJ55-P55,2))</f>
        <v>0.0</v>
      </c>
      <c r="AA55" s="31">
        <f>IF(AA54+AK55-Q55&lt;=0.01,0,ROUND(AA54+AK55-Q55,2))</f>
        <v>0.0</v>
      </c>
      <c r="AB55" s="31">
        <f>ROUND(R54*AB$5/1200,2)</f>
        <v>0.0</v>
      </c>
      <c r="AC55" s="31">
        <f>ROUND(S54*AC$5/1200,2)</f>
        <v>0.0</v>
      </c>
      <c r="AD55" s="31">
        <f>ROUND(T54*AD$5/1200,2)</f>
        <v>0.0</v>
      </c>
      <c r="AE55" s="31">
        <f>ROUND(U54*AE$5/1200,2)</f>
        <v>0.0</v>
      </c>
      <c r="AF55" s="31">
        <f>ROUND(V54*AF$5/1200,2)</f>
        <v>0.0</v>
      </c>
      <c r="AG55" s="31">
        <f>ROUND(W54*AG$5/1200,2)</f>
        <v>0.0</v>
      </c>
      <c r="AH55" s="31">
        <f>ROUND(X54*AH$5/1200,2)</f>
        <v>0.0</v>
      </c>
      <c r="AI55" s="31">
        <f>ROUND(Y54*AI$5/1200,2)</f>
        <v>0.0</v>
      </c>
      <c r="AJ55" s="31">
        <f>ROUND(Z54*AJ$5/1200,2)</f>
        <v>0.0</v>
      </c>
      <c r="AK55" s="31">
        <f>ROUND(AA54*AK$5/1200,2)</f>
        <v>0.0</v>
      </c>
      <c r="AL55" s="31">
        <f>MIN(AL$5,R54+AB55)</f>
        <v>0.0</v>
      </c>
      <c r="AM55" s="31">
        <f>MIN(AM$5,S54+AC55)</f>
        <v>0.0</v>
      </c>
      <c r="AN55" s="31">
        <f>MIN(AN$5,T54+AD55)</f>
        <v>0.0</v>
      </c>
      <c r="AO55" s="31">
        <f>MIN(AO$5,U54+AE55)</f>
        <v>0.0</v>
      </c>
      <c r="AP55" s="31">
        <f>MIN(AP$5,V54+AF55)</f>
        <v>0.0</v>
      </c>
      <c r="AQ55" s="31">
        <f>MIN(AQ$5,W54+AG55)</f>
        <v>0.0</v>
      </c>
      <c r="AR55" s="31">
        <f>MIN(AR$5,X54+AH55)</f>
        <v>0.0</v>
      </c>
      <c r="AS55" s="31">
        <f>MIN(AS$5,Y54+AI55)</f>
        <v>0.0</v>
      </c>
      <c r="AT55" s="31">
        <f>MIN(AT$5,Z54+AJ55)</f>
        <v>0.0</v>
      </c>
      <c r="AU55" s="31">
        <f>MIN(AU$5,AA54+AK55)</f>
        <v>0.0</v>
      </c>
    </row>
    <row r="56">
      <c r="A56" s="25" t="str">
        <f>IF(F55&gt;0.005,51,"")</f>
        <v/>
      </c>
      <c r="B56" s="33" t="str">
        <f>IF(A56="","",EDATE(Долги!$D$5,50))</f>
        <v/>
      </c>
      <c r="C56" s="31">
        <f>SUM(H56:Q56)</f>
        <v>0.0</v>
      </c>
      <c r="D56" s="31">
        <f>SUM(AB56:AK56)</f>
        <v>0.0</v>
      </c>
      <c r="E56" s="31">
        <f>C56-D56</f>
        <v>0.0</v>
      </c>
      <c r="F56" s="31">
        <f>SUM(R56:AA56)</f>
        <v>0.0</v>
      </c>
      <c r="G56" s="34" t="str">
        <f>IF(OR(A56="",$F$5&lt;=0),"",REPT("█",ROUND(20*F56/$F$5,0)))</f>
        <v/>
      </c>
      <c r="H56" s="31">
        <f>AL56+MIN(R55+AB56-AL56,MAX(0,ROUND(Долги!$D$19-SUM($AL56:$AU56),2)))</f>
        <v>0.0</v>
      </c>
      <c r="I56" s="31">
        <f>AM56+MIN(S55+AC56-AM56,MAX(0,ROUND(ROUND(Долги!$D$19-SUM($AL56:$AU56),2)-(SUM($H56:H56)-SUM($AL56:AL56)),2)))</f>
        <v>0.0</v>
      </c>
      <c r="J56" s="31">
        <f>AN56+MIN(T55+AD56-AN56,MAX(0,ROUND(ROUND(Долги!$D$19-SUM($AL56:$AU56),2)-(SUM($H56:I56)-SUM($AL56:AM56)),2)))</f>
        <v>0.0</v>
      </c>
      <c r="K56" s="31">
        <f>AO56+MIN(U55+AE56-AO56,MAX(0,ROUND(ROUND(Долги!$D$19-SUM($AL56:$AU56),2)-(SUM($H56:J56)-SUM($AL56:AN56)),2)))</f>
        <v>0.0</v>
      </c>
      <c r="L56" s="31">
        <f>AP56+MIN(V55+AF56-AP56,MAX(0,ROUND(ROUND(Долги!$D$19-SUM($AL56:$AU56),2)-(SUM($H56:K56)-SUM($AL56:AO56)),2)))</f>
        <v>0.0</v>
      </c>
      <c r="M56" s="31">
        <f>AQ56+MIN(W55+AG56-AQ56,MAX(0,ROUND(ROUND(Долги!$D$19-SUM($AL56:$AU56),2)-(SUM($H56:L56)-SUM($AL56:AP56)),2)))</f>
        <v>0.0</v>
      </c>
      <c r="N56" s="31">
        <f>AR56+MIN(X55+AH56-AR56,MAX(0,ROUND(ROUND(Долги!$D$19-SUM($AL56:$AU56),2)-(SUM($H56:M56)-SUM($AL56:AQ56)),2)))</f>
        <v>0.0</v>
      </c>
      <c r="O56" s="31">
        <f>AS56+MIN(Y55+AI56-AS56,MAX(0,ROUND(ROUND(Долги!$D$19-SUM($AL56:$AU56),2)-(SUM($H56:N56)-SUM($AL56:AR56)),2)))</f>
        <v>0.0</v>
      </c>
      <c r="P56" s="31">
        <f>AT56+MIN(Z55+AJ56-AT56,MAX(0,ROUND(ROUND(Долги!$D$19-SUM($AL56:$AU56),2)-(SUM($H56:O56)-SUM($AL56:AS56)),2)))</f>
        <v>0.0</v>
      </c>
      <c r="Q56" s="31">
        <f>AU56+MIN(AA55+AK56-AU56,MAX(0,ROUND(ROUND(Долги!$D$19-SUM($AL56:$AU56),2)-(SUM($H56:P56)-SUM($AL56:AT56)),2)))</f>
        <v>0.0</v>
      </c>
      <c r="R56" s="31">
        <f>IF(R55+AB56-H56&lt;=0.01,0,ROUND(R55+AB56-H56,2))</f>
        <v>0.0</v>
      </c>
      <c r="S56" s="31">
        <f>IF(S55+AC56-I56&lt;=0.01,0,ROUND(S55+AC56-I56,2))</f>
        <v>0.0</v>
      </c>
      <c r="T56" s="31">
        <f>IF(T55+AD56-J56&lt;=0.01,0,ROUND(T55+AD56-J56,2))</f>
        <v>0.0</v>
      </c>
      <c r="U56" s="31">
        <f>IF(U55+AE56-K56&lt;=0.01,0,ROUND(U55+AE56-K56,2))</f>
        <v>0.0</v>
      </c>
      <c r="V56" s="31">
        <f>IF(V55+AF56-L56&lt;=0.01,0,ROUND(V55+AF56-L56,2))</f>
        <v>0.0</v>
      </c>
      <c r="W56" s="31">
        <f>IF(W55+AG56-M56&lt;=0.01,0,ROUND(W55+AG56-M56,2))</f>
        <v>0.0</v>
      </c>
      <c r="X56" s="31">
        <f>IF(X55+AH56-N56&lt;=0.01,0,ROUND(X55+AH56-N56,2))</f>
        <v>0.0</v>
      </c>
      <c r="Y56" s="31">
        <f>IF(Y55+AI56-O56&lt;=0.01,0,ROUND(Y55+AI56-O56,2))</f>
        <v>0.0</v>
      </c>
      <c r="Z56" s="31">
        <f>IF(Z55+AJ56-P56&lt;=0.01,0,ROUND(Z55+AJ56-P56,2))</f>
        <v>0.0</v>
      </c>
      <c r="AA56" s="31">
        <f>IF(AA55+AK56-Q56&lt;=0.01,0,ROUND(AA55+AK56-Q56,2))</f>
        <v>0.0</v>
      </c>
      <c r="AB56" s="31">
        <f>ROUND(R55*AB$5/1200,2)</f>
        <v>0.0</v>
      </c>
      <c r="AC56" s="31">
        <f>ROUND(S55*AC$5/1200,2)</f>
        <v>0.0</v>
      </c>
      <c r="AD56" s="31">
        <f>ROUND(T55*AD$5/1200,2)</f>
        <v>0.0</v>
      </c>
      <c r="AE56" s="31">
        <f>ROUND(U55*AE$5/1200,2)</f>
        <v>0.0</v>
      </c>
      <c r="AF56" s="31">
        <f>ROUND(V55*AF$5/1200,2)</f>
        <v>0.0</v>
      </c>
      <c r="AG56" s="31">
        <f>ROUND(W55*AG$5/1200,2)</f>
        <v>0.0</v>
      </c>
      <c r="AH56" s="31">
        <f>ROUND(X55*AH$5/1200,2)</f>
        <v>0.0</v>
      </c>
      <c r="AI56" s="31">
        <f>ROUND(Y55*AI$5/1200,2)</f>
        <v>0.0</v>
      </c>
      <c r="AJ56" s="31">
        <f>ROUND(Z55*AJ$5/1200,2)</f>
        <v>0.0</v>
      </c>
      <c r="AK56" s="31">
        <f>ROUND(AA55*AK$5/1200,2)</f>
        <v>0.0</v>
      </c>
      <c r="AL56" s="31">
        <f>MIN(AL$5,R55+AB56)</f>
        <v>0.0</v>
      </c>
      <c r="AM56" s="31">
        <f>MIN(AM$5,S55+AC56)</f>
        <v>0.0</v>
      </c>
      <c r="AN56" s="31">
        <f>MIN(AN$5,T55+AD56)</f>
        <v>0.0</v>
      </c>
      <c r="AO56" s="31">
        <f>MIN(AO$5,U55+AE56)</f>
        <v>0.0</v>
      </c>
      <c r="AP56" s="31">
        <f>MIN(AP$5,V55+AF56)</f>
        <v>0.0</v>
      </c>
      <c r="AQ56" s="31">
        <f>MIN(AQ$5,W55+AG56)</f>
        <v>0.0</v>
      </c>
      <c r="AR56" s="31">
        <f>MIN(AR$5,X55+AH56)</f>
        <v>0.0</v>
      </c>
      <c r="AS56" s="31">
        <f>MIN(AS$5,Y55+AI56)</f>
        <v>0.0</v>
      </c>
      <c r="AT56" s="31">
        <f>MIN(AT$5,Z55+AJ56)</f>
        <v>0.0</v>
      </c>
      <c r="AU56" s="31">
        <f>MIN(AU$5,AA55+AK56)</f>
        <v>0.0</v>
      </c>
    </row>
    <row r="57">
      <c r="A57" s="25" t="str">
        <f>IF(F56&gt;0.005,52,"")</f>
        <v/>
      </c>
      <c r="B57" s="33" t="str">
        <f>IF(A57="","",EDATE(Долги!$D$5,51))</f>
        <v/>
      </c>
      <c r="C57" s="31">
        <f>SUM(H57:Q57)</f>
        <v>0.0</v>
      </c>
      <c r="D57" s="31">
        <f>SUM(AB57:AK57)</f>
        <v>0.0</v>
      </c>
      <c r="E57" s="31">
        <f>C57-D57</f>
        <v>0.0</v>
      </c>
      <c r="F57" s="31">
        <f>SUM(R57:AA57)</f>
        <v>0.0</v>
      </c>
      <c r="G57" s="34" t="str">
        <f>IF(OR(A57="",$F$5&lt;=0),"",REPT("█",ROUND(20*F57/$F$5,0)))</f>
        <v/>
      </c>
      <c r="H57" s="31">
        <f>AL57+MIN(R56+AB57-AL57,MAX(0,ROUND(Долги!$D$19-SUM($AL57:$AU57),2)))</f>
        <v>0.0</v>
      </c>
      <c r="I57" s="31">
        <f>AM57+MIN(S56+AC57-AM57,MAX(0,ROUND(ROUND(Долги!$D$19-SUM($AL57:$AU57),2)-(SUM($H57:H57)-SUM($AL57:AL57)),2)))</f>
        <v>0.0</v>
      </c>
      <c r="J57" s="31">
        <f>AN57+MIN(T56+AD57-AN57,MAX(0,ROUND(ROUND(Долги!$D$19-SUM($AL57:$AU57),2)-(SUM($H57:I57)-SUM($AL57:AM57)),2)))</f>
        <v>0.0</v>
      </c>
      <c r="K57" s="31">
        <f>AO57+MIN(U56+AE57-AO57,MAX(0,ROUND(ROUND(Долги!$D$19-SUM($AL57:$AU57),2)-(SUM($H57:J57)-SUM($AL57:AN57)),2)))</f>
        <v>0.0</v>
      </c>
      <c r="L57" s="31">
        <f>AP57+MIN(V56+AF57-AP57,MAX(0,ROUND(ROUND(Долги!$D$19-SUM($AL57:$AU57),2)-(SUM($H57:K57)-SUM($AL57:AO57)),2)))</f>
        <v>0.0</v>
      </c>
      <c r="M57" s="31">
        <f>AQ57+MIN(W56+AG57-AQ57,MAX(0,ROUND(ROUND(Долги!$D$19-SUM($AL57:$AU57),2)-(SUM($H57:L57)-SUM($AL57:AP57)),2)))</f>
        <v>0.0</v>
      </c>
      <c r="N57" s="31">
        <f>AR57+MIN(X56+AH57-AR57,MAX(0,ROUND(ROUND(Долги!$D$19-SUM($AL57:$AU57),2)-(SUM($H57:M57)-SUM($AL57:AQ57)),2)))</f>
        <v>0.0</v>
      </c>
      <c r="O57" s="31">
        <f>AS57+MIN(Y56+AI57-AS57,MAX(0,ROUND(ROUND(Долги!$D$19-SUM($AL57:$AU57),2)-(SUM($H57:N57)-SUM($AL57:AR57)),2)))</f>
        <v>0.0</v>
      </c>
      <c r="P57" s="31">
        <f>AT57+MIN(Z56+AJ57-AT57,MAX(0,ROUND(ROUND(Долги!$D$19-SUM($AL57:$AU57),2)-(SUM($H57:O57)-SUM($AL57:AS57)),2)))</f>
        <v>0.0</v>
      </c>
      <c r="Q57" s="31">
        <f>AU57+MIN(AA56+AK57-AU57,MAX(0,ROUND(ROUND(Долги!$D$19-SUM($AL57:$AU57),2)-(SUM($H57:P57)-SUM($AL57:AT57)),2)))</f>
        <v>0.0</v>
      </c>
      <c r="R57" s="31">
        <f>IF(R56+AB57-H57&lt;=0.01,0,ROUND(R56+AB57-H57,2))</f>
        <v>0.0</v>
      </c>
      <c r="S57" s="31">
        <f>IF(S56+AC57-I57&lt;=0.01,0,ROUND(S56+AC57-I57,2))</f>
        <v>0.0</v>
      </c>
      <c r="T57" s="31">
        <f>IF(T56+AD57-J57&lt;=0.01,0,ROUND(T56+AD57-J57,2))</f>
        <v>0.0</v>
      </c>
      <c r="U57" s="31">
        <f>IF(U56+AE57-K57&lt;=0.01,0,ROUND(U56+AE57-K57,2))</f>
        <v>0.0</v>
      </c>
      <c r="V57" s="31">
        <f>IF(V56+AF57-L57&lt;=0.01,0,ROUND(V56+AF57-L57,2))</f>
        <v>0.0</v>
      </c>
      <c r="W57" s="31">
        <f>IF(W56+AG57-M57&lt;=0.01,0,ROUND(W56+AG57-M57,2))</f>
        <v>0.0</v>
      </c>
      <c r="X57" s="31">
        <f>IF(X56+AH57-N57&lt;=0.01,0,ROUND(X56+AH57-N57,2))</f>
        <v>0.0</v>
      </c>
      <c r="Y57" s="31">
        <f>IF(Y56+AI57-O57&lt;=0.01,0,ROUND(Y56+AI57-O57,2))</f>
        <v>0.0</v>
      </c>
      <c r="Z57" s="31">
        <f>IF(Z56+AJ57-P57&lt;=0.01,0,ROUND(Z56+AJ57-P57,2))</f>
        <v>0.0</v>
      </c>
      <c r="AA57" s="31">
        <f>IF(AA56+AK57-Q57&lt;=0.01,0,ROUND(AA56+AK57-Q57,2))</f>
        <v>0.0</v>
      </c>
      <c r="AB57" s="31">
        <f>ROUND(R56*AB$5/1200,2)</f>
        <v>0.0</v>
      </c>
      <c r="AC57" s="31">
        <f>ROUND(S56*AC$5/1200,2)</f>
        <v>0.0</v>
      </c>
      <c r="AD57" s="31">
        <f>ROUND(T56*AD$5/1200,2)</f>
        <v>0.0</v>
      </c>
      <c r="AE57" s="31">
        <f>ROUND(U56*AE$5/1200,2)</f>
        <v>0.0</v>
      </c>
      <c r="AF57" s="31">
        <f>ROUND(V56*AF$5/1200,2)</f>
        <v>0.0</v>
      </c>
      <c r="AG57" s="31">
        <f>ROUND(W56*AG$5/1200,2)</f>
        <v>0.0</v>
      </c>
      <c r="AH57" s="31">
        <f>ROUND(X56*AH$5/1200,2)</f>
        <v>0.0</v>
      </c>
      <c r="AI57" s="31">
        <f>ROUND(Y56*AI$5/1200,2)</f>
        <v>0.0</v>
      </c>
      <c r="AJ57" s="31">
        <f>ROUND(Z56*AJ$5/1200,2)</f>
        <v>0.0</v>
      </c>
      <c r="AK57" s="31">
        <f>ROUND(AA56*AK$5/1200,2)</f>
        <v>0.0</v>
      </c>
      <c r="AL57" s="31">
        <f>MIN(AL$5,R56+AB57)</f>
        <v>0.0</v>
      </c>
      <c r="AM57" s="31">
        <f>MIN(AM$5,S56+AC57)</f>
        <v>0.0</v>
      </c>
      <c r="AN57" s="31">
        <f>MIN(AN$5,T56+AD57)</f>
        <v>0.0</v>
      </c>
      <c r="AO57" s="31">
        <f>MIN(AO$5,U56+AE57)</f>
        <v>0.0</v>
      </c>
      <c r="AP57" s="31">
        <f>MIN(AP$5,V56+AF57)</f>
        <v>0.0</v>
      </c>
      <c r="AQ57" s="31">
        <f>MIN(AQ$5,W56+AG57)</f>
        <v>0.0</v>
      </c>
      <c r="AR57" s="31">
        <f>MIN(AR$5,X56+AH57)</f>
        <v>0.0</v>
      </c>
      <c r="AS57" s="31">
        <f>MIN(AS$5,Y56+AI57)</f>
        <v>0.0</v>
      </c>
      <c r="AT57" s="31">
        <f>MIN(AT$5,Z56+AJ57)</f>
        <v>0.0</v>
      </c>
      <c r="AU57" s="31">
        <f>MIN(AU$5,AA56+AK57)</f>
        <v>0.0</v>
      </c>
    </row>
    <row r="58">
      <c r="A58" s="25" t="str">
        <f>IF(F57&gt;0.005,53,"")</f>
        <v/>
      </c>
      <c r="B58" s="33" t="str">
        <f>IF(A58="","",EDATE(Долги!$D$5,52))</f>
        <v/>
      </c>
      <c r="C58" s="31">
        <f>SUM(H58:Q58)</f>
        <v>0.0</v>
      </c>
      <c r="D58" s="31">
        <f>SUM(AB58:AK58)</f>
        <v>0.0</v>
      </c>
      <c r="E58" s="31">
        <f>C58-D58</f>
        <v>0.0</v>
      </c>
      <c r="F58" s="31">
        <f>SUM(R58:AA58)</f>
        <v>0.0</v>
      </c>
      <c r="G58" s="34" t="str">
        <f>IF(OR(A58="",$F$5&lt;=0),"",REPT("█",ROUND(20*F58/$F$5,0)))</f>
        <v/>
      </c>
      <c r="H58" s="31">
        <f>AL58+MIN(R57+AB58-AL58,MAX(0,ROUND(Долги!$D$19-SUM($AL58:$AU58),2)))</f>
        <v>0.0</v>
      </c>
      <c r="I58" s="31">
        <f>AM58+MIN(S57+AC58-AM58,MAX(0,ROUND(ROUND(Долги!$D$19-SUM($AL58:$AU58),2)-(SUM($H58:H58)-SUM($AL58:AL58)),2)))</f>
        <v>0.0</v>
      </c>
      <c r="J58" s="31">
        <f>AN58+MIN(T57+AD58-AN58,MAX(0,ROUND(ROUND(Долги!$D$19-SUM($AL58:$AU58),2)-(SUM($H58:I58)-SUM($AL58:AM58)),2)))</f>
        <v>0.0</v>
      </c>
      <c r="K58" s="31">
        <f>AO58+MIN(U57+AE58-AO58,MAX(0,ROUND(ROUND(Долги!$D$19-SUM($AL58:$AU58),2)-(SUM($H58:J58)-SUM($AL58:AN58)),2)))</f>
        <v>0.0</v>
      </c>
      <c r="L58" s="31">
        <f>AP58+MIN(V57+AF58-AP58,MAX(0,ROUND(ROUND(Долги!$D$19-SUM($AL58:$AU58),2)-(SUM($H58:K58)-SUM($AL58:AO58)),2)))</f>
        <v>0.0</v>
      </c>
      <c r="M58" s="31">
        <f>AQ58+MIN(W57+AG58-AQ58,MAX(0,ROUND(ROUND(Долги!$D$19-SUM($AL58:$AU58),2)-(SUM($H58:L58)-SUM($AL58:AP58)),2)))</f>
        <v>0.0</v>
      </c>
      <c r="N58" s="31">
        <f>AR58+MIN(X57+AH58-AR58,MAX(0,ROUND(ROUND(Долги!$D$19-SUM($AL58:$AU58),2)-(SUM($H58:M58)-SUM($AL58:AQ58)),2)))</f>
        <v>0.0</v>
      </c>
      <c r="O58" s="31">
        <f>AS58+MIN(Y57+AI58-AS58,MAX(0,ROUND(ROUND(Долги!$D$19-SUM($AL58:$AU58),2)-(SUM($H58:N58)-SUM($AL58:AR58)),2)))</f>
        <v>0.0</v>
      </c>
      <c r="P58" s="31">
        <f>AT58+MIN(Z57+AJ58-AT58,MAX(0,ROUND(ROUND(Долги!$D$19-SUM($AL58:$AU58),2)-(SUM($H58:O58)-SUM($AL58:AS58)),2)))</f>
        <v>0.0</v>
      </c>
      <c r="Q58" s="31">
        <f>AU58+MIN(AA57+AK58-AU58,MAX(0,ROUND(ROUND(Долги!$D$19-SUM($AL58:$AU58),2)-(SUM($H58:P58)-SUM($AL58:AT58)),2)))</f>
        <v>0.0</v>
      </c>
      <c r="R58" s="31">
        <f>IF(R57+AB58-H58&lt;=0.01,0,ROUND(R57+AB58-H58,2))</f>
        <v>0.0</v>
      </c>
      <c r="S58" s="31">
        <f>IF(S57+AC58-I58&lt;=0.01,0,ROUND(S57+AC58-I58,2))</f>
        <v>0.0</v>
      </c>
      <c r="T58" s="31">
        <f>IF(T57+AD58-J58&lt;=0.01,0,ROUND(T57+AD58-J58,2))</f>
        <v>0.0</v>
      </c>
      <c r="U58" s="31">
        <f>IF(U57+AE58-K58&lt;=0.01,0,ROUND(U57+AE58-K58,2))</f>
        <v>0.0</v>
      </c>
      <c r="V58" s="31">
        <f>IF(V57+AF58-L58&lt;=0.01,0,ROUND(V57+AF58-L58,2))</f>
        <v>0.0</v>
      </c>
      <c r="W58" s="31">
        <f>IF(W57+AG58-M58&lt;=0.01,0,ROUND(W57+AG58-M58,2))</f>
        <v>0.0</v>
      </c>
      <c r="X58" s="31">
        <f>IF(X57+AH58-N58&lt;=0.01,0,ROUND(X57+AH58-N58,2))</f>
        <v>0.0</v>
      </c>
      <c r="Y58" s="31">
        <f>IF(Y57+AI58-O58&lt;=0.01,0,ROUND(Y57+AI58-O58,2))</f>
        <v>0.0</v>
      </c>
      <c r="Z58" s="31">
        <f>IF(Z57+AJ58-P58&lt;=0.01,0,ROUND(Z57+AJ58-P58,2))</f>
        <v>0.0</v>
      </c>
      <c r="AA58" s="31">
        <f>IF(AA57+AK58-Q58&lt;=0.01,0,ROUND(AA57+AK58-Q58,2))</f>
        <v>0.0</v>
      </c>
      <c r="AB58" s="31">
        <f>ROUND(R57*AB$5/1200,2)</f>
        <v>0.0</v>
      </c>
      <c r="AC58" s="31">
        <f>ROUND(S57*AC$5/1200,2)</f>
        <v>0.0</v>
      </c>
      <c r="AD58" s="31">
        <f>ROUND(T57*AD$5/1200,2)</f>
        <v>0.0</v>
      </c>
      <c r="AE58" s="31">
        <f>ROUND(U57*AE$5/1200,2)</f>
        <v>0.0</v>
      </c>
      <c r="AF58" s="31">
        <f>ROUND(V57*AF$5/1200,2)</f>
        <v>0.0</v>
      </c>
      <c r="AG58" s="31">
        <f>ROUND(W57*AG$5/1200,2)</f>
        <v>0.0</v>
      </c>
      <c r="AH58" s="31">
        <f>ROUND(X57*AH$5/1200,2)</f>
        <v>0.0</v>
      </c>
      <c r="AI58" s="31">
        <f>ROUND(Y57*AI$5/1200,2)</f>
        <v>0.0</v>
      </c>
      <c r="AJ58" s="31">
        <f>ROUND(Z57*AJ$5/1200,2)</f>
        <v>0.0</v>
      </c>
      <c r="AK58" s="31">
        <f>ROUND(AA57*AK$5/1200,2)</f>
        <v>0.0</v>
      </c>
      <c r="AL58" s="31">
        <f>MIN(AL$5,R57+AB58)</f>
        <v>0.0</v>
      </c>
      <c r="AM58" s="31">
        <f>MIN(AM$5,S57+AC58)</f>
        <v>0.0</v>
      </c>
      <c r="AN58" s="31">
        <f>MIN(AN$5,T57+AD58)</f>
        <v>0.0</v>
      </c>
      <c r="AO58" s="31">
        <f>MIN(AO$5,U57+AE58)</f>
        <v>0.0</v>
      </c>
      <c r="AP58" s="31">
        <f>MIN(AP$5,V57+AF58)</f>
        <v>0.0</v>
      </c>
      <c r="AQ58" s="31">
        <f>MIN(AQ$5,W57+AG58)</f>
        <v>0.0</v>
      </c>
      <c r="AR58" s="31">
        <f>MIN(AR$5,X57+AH58)</f>
        <v>0.0</v>
      </c>
      <c r="AS58" s="31">
        <f>MIN(AS$5,Y57+AI58)</f>
        <v>0.0</v>
      </c>
      <c r="AT58" s="31">
        <f>MIN(AT$5,Z57+AJ58)</f>
        <v>0.0</v>
      </c>
      <c r="AU58" s="31">
        <f>MIN(AU$5,AA57+AK58)</f>
        <v>0.0</v>
      </c>
    </row>
    <row r="59">
      <c r="A59" s="25" t="str">
        <f>IF(F58&gt;0.005,54,"")</f>
        <v/>
      </c>
      <c r="B59" s="33" t="str">
        <f>IF(A59="","",EDATE(Долги!$D$5,53))</f>
        <v/>
      </c>
      <c r="C59" s="31">
        <f>SUM(H59:Q59)</f>
        <v>0.0</v>
      </c>
      <c r="D59" s="31">
        <f>SUM(AB59:AK59)</f>
        <v>0.0</v>
      </c>
      <c r="E59" s="31">
        <f>C59-D59</f>
        <v>0.0</v>
      </c>
      <c r="F59" s="31">
        <f>SUM(R59:AA59)</f>
        <v>0.0</v>
      </c>
      <c r="G59" s="34" t="str">
        <f>IF(OR(A59="",$F$5&lt;=0),"",REPT("█",ROUND(20*F59/$F$5,0)))</f>
        <v/>
      </c>
      <c r="H59" s="31">
        <f>AL59+MIN(R58+AB59-AL59,MAX(0,ROUND(Долги!$D$19-SUM($AL59:$AU59),2)))</f>
        <v>0.0</v>
      </c>
      <c r="I59" s="31">
        <f>AM59+MIN(S58+AC59-AM59,MAX(0,ROUND(ROUND(Долги!$D$19-SUM($AL59:$AU59),2)-(SUM($H59:H59)-SUM($AL59:AL59)),2)))</f>
        <v>0.0</v>
      </c>
      <c r="J59" s="31">
        <f>AN59+MIN(T58+AD59-AN59,MAX(0,ROUND(ROUND(Долги!$D$19-SUM($AL59:$AU59),2)-(SUM($H59:I59)-SUM($AL59:AM59)),2)))</f>
        <v>0.0</v>
      </c>
      <c r="K59" s="31">
        <f>AO59+MIN(U58+AE59-AO59,MAX(0,ROUND(ROUND(Долги!$D$19-SUM($AL59:$AU59),2)-(SUM($H59:J59)-SUM($AL59:AN59)),2)))</f>
        <v>0.0</v>
      </c>
      <c r="L59" s="31">
        <f>AP59+MIN(V58+AF59-AP59,MAX(0,ROUND(ROUND(Долги!$D$19-SUM($AL59:$AU59),2)-(SUM($H59:K59)-SUM($AL59:AO59)),2)))</f>
        <v>0.0</v>
      </c>
      <c r="M59" s="31">
        <f>AQ59+MIN(W58+AG59-AQ59,MAX(0,ROUND(ROUND(Долги!$D$19-SUM($AL59:$AU59),2)-(SUM($H59:L59)-SUM($AL59:AP59)),2)))</f>
        <v>0.0</v>
      </c>
      <c r="N59" s="31">
        <f>AR59+MIN(X58+AH59-AR59,MAX(0,ROUND(ROUND(Долги!$D$19-SUM($AL59:$AU59),2)-(SUM($H59:M59)-SUM($AL59:AQ59)),2)))</f>
        <v>0.0</v>
      </c>
      <c r="O59" s="31">
        <f>AS59+MIN(Y58+AI59-AS59,MAX(0,ROUND(ROUND(Долги!$D$19-SUM($AL59:$AU59),2)-(SUM($H59:N59)-SUM($AL59:AR59)),2)))</f>
        <v>0.0</v>
      </c>
      <c r="P59" s="31">
        <f>AT59+MIN(Z58+AJ59-AT59,MAX(0,ROUND(ROUND(Долги!$D$19-SUM($AL59:$AU59),2)-(SUM($H59:O59)-SUM($AL59:AS59)),2)))</f>
        <v>0.0</v>
      </c>
      <c r="Q59" s="31">
        <f>AU59+MIN(AA58+AK59-AU59,MAX(0,ROUND(ROUND(Долги!$D$19-SUM($AL59:$AU59),2)-(SUM($H59:P59)-SUM($AL59:AT59)),2)))</f>
        <v>0.0</v>
      </c>
      <c r="R59" s="31">
        <f>IF(R58+AB59-H59&lt;=0.01,0,ROUND(R58+AB59-H59,2))</f>
        <v>0.0</v>
      </c>
      <c r="S59" s="31">
        <f>IF(S58+AC59-I59&lt;=0.01,0,ROUND(S58+AC59-I59,2))</f>
        <v>0.0</v>
      </c>
      <c r="T59" s="31">
        <f>IF(T58+AD59-J59&lt;=0.01,0,ROUND(T58+AD59-J59,2))</f>
        <v>0.0</v>
      </c>
      <c r="U59" s="31">
        <f>IF(U58+AE59-K59&lt;=0.01,0,ROUND(U58+AE59-K59,2))</f>
        <v>0.0</v>
      </c>
      <c r="V59" s="31">
        <f>IF(V58+AF59-L59&lt;=0.01,0,ROUND(V58+AF59-L59,2))</f>
        <v>0.0</v>
      </c>
      <c r="W59" s="31">
        <f>IF(W58+AG59-M59&lt;=0.01,0,ROUND(W58+AG59-M59,2))</f>
        <v>0.0</v>
      </c>
      <c r="X59" s="31">
        <f>IF(X58+AH59-N59&lt;=0.01,0,ROUND(X58+AH59-N59,2))</f>
        <v>0.0</v>
      </c>
      <c r="Y59" s="31">
        <f>IF(Y58+AI59-O59&lt;=0.01,0,ROUND(Y58+AI59-O59,2))</f>
        <v>0.0</v>
      </c>
      <c r="Z59" s="31">
        <f>IF(Z58+AJ59-P59&lt;=0.01,0,ROUND(Z58+AJ59-P59,2))</f>
        <v>0.0</v>
      </c>
      <c r="AA59" s="31">
        <f>IF(AA58+AK59-Q59&lt;=0.01,0,ROUND(AA58+AK59-Q59,2))</f>
        <v>0.0</v>
      </c>
      <c r="AB59" s="31">
        <f>ROUND(R58*AB$5/1200,2)</f>
        <v>0.0</v>
      </c>
      <c r="AC59" s="31">
        <f>ROUND(S58*AC$5/1200,2)</f>
        <v>0.0</v>
      </c>
      <c r="AD59" s="31">
        <f>ROUND(T58*AD$5/1200,2)</f>
        <v>0.0</v>
      </c>
      <c r="AE59" s="31">
        <f>ROUND(U58*AE$5/1200,2)</f>
        <v>0.0</v>
      </c>
      <c r="AF59" s="31">
        <f>ROUND(V58*AF$5/1200,2)</f>
        <v>0.0</v>
      </c>
      <c r="AG59" s="31">
        <f>ROUND(W58*AG$5/1200,2)</f>
        <v>0.0</v>
      </c>
      <c r="AH59" s="31">
        <f>ROUND(X58*AH$5/1200,2)</f>
        <v>0.0</v>
      </c>
      <c r="AI59" s="31">
        <f>ROUND(Y58*AI$5/1200,2)</f>
        <v>0.0</v>
      </c>
      <c r="AJ59" s="31">
        <f>ROUND(Z58*AJ$5/1200,2)</f>
        <v>0.0</v>
      </c>
      <c r="AK59" s="31">
        <f>ROUND(AA58*AK$5/1200,2)</f>
        <v>0.0</v>
      </c>
      <c r="AL59" s="31">
        <f>MIN(AL$5,R58+AB59)</f>
        <v>0.0</v>
      </c>
      <c r="AM59" s="31">
        <f>MIN(AM$5,S58+AC59)</f>
        <v>0.0</v>
      </c>
      <c r="AN59" s="31">
        <f>MIN(AN$5,T58+AD59)</f>
        <v>0.0</v>
      </c>
      <c r="AO59" s="31">
        <f>MIN(AO$5,U58+AE59)</f>
        <v>0.0</v>
      </c>
      <c r="AP59" s="31">
        <f>MIN(AP$5,V58+AF59)</f>
        <v>0.0</v>
      </c>
      <c r="AQ59" s="31">
        <f>MIN(AQ$5,W58+AG59)</f>
        <v>0.0</v>
      </c>
      <c r="AR59" s="31">
        <f>MIN(AR$5,X58+AH59)</f>
        <v>0.0</v>
      </c>
      <c r="AS59" s="31">
        <f>MIN(AS$5,Y58+AI59)</f>
        <v>0.0</v>
      </c>
      <c r="AT59" s="31">
        <f>MIN(AT$5,Z58+AJ59)</f>
        <v>0.0</v>
      </c>
      <c r="AU59" s="31">
        <f>MIN(AU$5,AA58+AK59)</f>
        <v>0.0</v>
      </c>
    </row>
    <row r="60">
      <c r="A60" s="25" t="str">
        <f>IF(F59&gt;0.005,55,"")</f>
        <v/>
      </c>
      <c r="B60" s="33" t="str">
        <f>IF(A60="","",EDATE(Долги!$D$5,54))</f>
        <v/>
      </c>
      <c r="C60" s="31">
        <f>SUM(H60:Q60)</f>
        <v>0.0</v>
      </c>
      <c r="D60" s="31">
        <f>SUM(AB60:AK60)</f>
        <v>0.0</v>
      </c>
      <c r="E60" s="31">
        <f>C60-D60</f>
        <v>0.0</v>
      </c>
      <c r="F60" s="31">
        <f>SUM(R60:AA60)</f>
        <v>0.0</v>
      </c>
      <c r="G60" s="34" t="str">
        <f>IF(OR(A60="",$F$5&lt;=0),"",REPT("█",ROUND(20*F60/$F$5,0)))</f>
        <v/>
      </c>
      <c r="H60" s="31">
        <f>AL60+MIN(R59+AB60-AL60,MAX(0,ROUND(Долги!$D$19-SUM($AL60:$AU60),2)))</f>
        <v>0.0</v>
      </c>
      <c r="I60" s="31">
        <f>AM60+MIN(S59+AC60-AM60,MAX(0,ROUND(ROUND(Долги!$D$19-SUM($AL60:$AU60),2)-(SUM($H60:H60)-SUM($AL60:AL60)),2)))</f>
        <v>0.0</v>
      </c>
      <c r="J60" s="31">
        <f>AN60+MIN(T59+AD60-AN60,MAX(0,ROUND(ROUND(Долги!$D$19-SUM($AL60:$AU60),2)-(SUM($H60:I60)-SUM($AL60:AM60)),2)))</f>
        <v>0.0</v>
      </c>
      <c r="K60" s="31">
        <f>AO60+MIN(U59+AE60-AO60,MAX(0,ROUND(ROUND(Долги!$D$19-SUM($AL60:$AU60),2)-(SUM($H60:J60)-SUM($AL60:AN60)),2)))</f>
        <v>0.0</v>
      </c>
      <c r="L60" s="31">
        <f>AP60+MIN(V59+AF60-AP60,MAX(0,ROUND(ROUND(Долги!$D$19-SUM($AL60:$AU60),2)-(SUM($H60:K60)-SUM($AL60:AO60)),2)))</f>
        <v>0.0</v>
      </c>
      <c r="M60" s="31">
        <f>AQ60+MIN(W59+AG60-AQ60,MAX(0,ROUND(ROUND(Долги!$D$19-SUM($AL60:$AU60),2)-(SUM($H60:L60)-SUM($AL60:AP60)),2)))</f>
        <v>0.0</v>
      </c>
      <c r="N60" s="31">
        <f>AR60+MIN(X59+AH60-AR60,MAX(0,ROUND(ROUND(Долги!$D$19-SUM($AL60:$AU60),2)-(SUM($H60:M60)-SUM($AL60:AQ60)),2)))</f>
        <v>0.0</v>
      </c>
      <c r="O60" s="31">
        <f>AS60+MIN(Y59+AI60-AS60,MAX(0,ROUND(ROUND(Долги!$D$19-SUM($AL60:$AU60),2)-(SUM($H60:N60)-SUM($AL60:AR60)),2)))</f>
        <v>0.0</v>
      </c>
      <c r="P60" s="31">
        <f>AT60+MIN(Z59+AJ60-AT60,MAX(0,ROUND(ROUND(Долги!$D$19-SUM($AL60:$AU60),2)-(SUM($H60:O60)-SUM($AL60:AS60)),2)))</f>
        <v>0.0</v>
      </c>
      <c r="Q60" s="31">
        <f>AU60+MIN(AA59+AK60-AU60,MAX(0,ROUND(ROUND(Долги!$D$19-SUM($AL60:$AU60),2)-(SUM($H60:P60)-SUM($AL60:AT60)),2)))</f>
        <v>0.0</v>
      </c>
      <c r="R60" s="31">
        <f>IF(R59+AB60-H60&lt;=0.01,0,ROUND(R59+AB60-H60,2))</f>
        <v>0.0</v>
      </c>
      <c r="S60" s="31">
        <f>IF(S59+AC60-I60&lt;=0.01,0,ROUND(S59+AC60-I60,2))</f>
        <v>0.0</v>
      </c>
      <c r="T60" s="31">
        <f>IF(T59+AD60-J60&lt;=0.01,0,ROUND(T59+AD60-J60,2))</f>
        <v>0.0</v>
      </c>
      <c r="U60" s="31">
        <f>IF(U59+AE60-K60&lt;=0.01,0,ROUND(U59+AE60-K60,2))</f>
        <v>0.0</v>
      </c>
      <c r="V60" s="31">
        <f>IF(V59+AF60-L60&lt;=0.01,0,ROUND(V59+AF60-L60,2))</f>
        <v>0.0</v>
      </c>
      <c r="W60" s="31">
        <f>IF(W59+AG60-M60&lt;=0.01,0,ROUND(W59+AG60-M60,2))</f>
        <v>0.0</v>
      </c>
      <c r="X60" s="31">
        <f>IF(X59+AH60-N60&lt;=0.01,0,ROUND(X59+AH60-N60,2))</f>
        <v>0.0</v>
      </c>
      <c r="Y60" s="31">
        <f>IF(Y59+AI60-O60&lt;=0.01,0,ROUND(Y59+AI60-O60,2))</f>
        <v>0.0</v>
      </c>
      <c r="Z60" s="31">
        <f>IF(Z59+AJ60-P60&lt;=0.01,0,ROUND(Z59+AJ60-P60,2))</f>
        <v>0.0</v>
      </c>
      <c r="AA60" s="31">
        <f>IF(AA59+AK60-Q60&lt;=0.01,0,ROUND(AA59+AK60-Q60,2))</f>
        <v>0.0</v>
      </c>
      <c r="AB60" s="31">
        <f>ROUND(R59*AB$5/1200,2)</f>
        <v>0.0</v>
      </c>
      <c r="AC60" s="31">
        <f>ROUND(S59*AC$5/1200,2)</f>
        <v>0.0</v>
      </c>
      <c r="AD60" s="31">
        <f>ROUND(T59*AD$5/1200,2)</f>
        <v>0.0</v>
      </c>
      <c r="AE60" s="31">
        <f>ROUND(U59*AE$5/1200,2)</f>
        <v>0.0</v>
      </c>
      <c r="AF60" s="31">
        <f>ROUND(V59*AF$5/1200,2)</f>
        <v>0.0</v>
      </c>
      <c r="AG60" s="31">
        <f>ROUND(W59*AG$5/1200,2)</f>
        <v>0.0</v>
      </c>
      <c r="AH60" s="31">
        <f>ROUND(X59*AH$5/1200,2)</f>
        <v>0.0</v>
      </c>
      <c r="AI60" s="31">
        <f>ROUND(Y59*AI$5/1200,2)</f>
        <v>0.0</v>
      </c>
      <c r="AJ60" s="31">
        <f>ROUND(Z59*AJ$5/1200,2)</f>
        <v>0.0</v>
      </c>
      <c r="AK60" s="31">
        <f>ROUND(AA59*AK$5/1200,2)</f>
        <v>0.0</v>
      </c>
      <c r="AL60" s="31">
        <f>MIN(AL$5,R59+AB60)</f>
        <v>0.0</v>
      </c>
      <c r="AM60" s="31">
        <f>MIN(AM$5,S59+AC60)</f>
        <v>0.0</v>
      </c>
      <c r="AN60" s="31">
        <f>MIN(AN$5,T59+AD60)</f>
        <v>0.0</v>
      </c>
      <c r="AO60" s="31">
        <f>MIN(AO$5,U59+AE60)</f>
        <v>0.0</v>
      </c>
      <c r="AP60" s="31">
        <f>MIN(AP$5,V59+AF60)</f>
        <v>0.0</v>
      </c>
      <c r="AQ60" s="31">
        <f>MIN(AQ$5,W59+AG60)</f>
        <v>0.0</v>
      </c>
      <c r="AR60" s="31">
        <f>MIN(AR$5,X59+AH60)</f>
        <v>0.0</v>
      </c>
      <c r="AS60" s="31">
        <f>MIN(AS$5,Y59+AI60)</f>
        <v>0.0</v>
      </c>
      <c r="AT60" s="31">
        <f>MIN(AT$5,Z59+AJ60)</f>
        <v>0.0</v>
      </c>
      <c r="AU60" s="31">
        <f>MIN(AU$5,AA59+AK60)</f>
        <v>0.0</v>
      </c>
    </row>
    <row r="61">
      <c r="A61" s="25" t="str">
        <f>IF(F60&gt;0.005,56,"")</f>
        <v/>
      </c>
      <c r="B61" s="33" t="str">
        <f>IF(A61="","",EDATE(Долги!$D$5,55))</f>
        <v/>
      </c>
      <c r="C61" s="31">
        <f>SUM(H61:Q61)</f>
        <v>0.0</v>
      </c>
      <c r="D61" s="31">
        <f>SUM(AB61:AK61)</f>
        <v>0.0</v>
      </c>
      <c r="E61" s="31">
        <f>C61-D61</f>
        <v>0.0</v>
      </c>
      <c r="F61" s="31">
        <f>SUM(R61:AA61)</f>
        <v>0.0</v>
      </c>
      <c r="G61" s="34" t="str">
        <f>IF(OR(A61="",$F$5&lt;=0),"",REPT("█",ROUND(20*F61/$F$5,0)))</f>
        <v/>
      </c>
      <c r="H61" s="31">
        <f>AL61+MIN(R60+AB61-AL61,MAX(0,ROUND(Долги!$D$19-SUM($AL61:$AU61),2)))</f>
        <v>0.0</v>
      </c>
      <c r="I61" s="31">
        <f>AM61+MIN(S60+AC61-AM61,MAX(0,ROUND(ROUND(Долги!$D$19-SUM($AL61:$AU61),2)-(SUM($H61:H61)-SUM($AL61:AL61)),2)))</f>
        <v>0.0</v>
      </c>
      <c r="J61" s="31">
        <f>AN61+MIN(T60+AD61-AN61,MAX(0,ROUND(ROUND(Долги!$D$19-SUM($AL61:$AU61),2)-(SUM($H61:I61)-SUM($AL61:AM61)),2)))</f>
        <v>0.0</v>
      </c>
      <c r="K61" s="31">
        <f>AO61+MIN(U60+AE61-AO61,MAX(0,ROUND(ROUND(Долги!$D$19-SUM($AL61:$AU61),2)-(SUM($H61:J61)-SUM($AL61:AN61)),2)))</f>
        <v>0.0</v>
      </c>
      <c r="L61" s="31">
        <f>AP61+MIN(V60+AF61-AP61,MAX(0,ROUND(ROUND(Долги!$D$19-SUM($AL61:$AU61),2)-(SUM($H61:K61)-SUM($AL61:AO61)),2)))</f>
        <v>0.0</v>
      </c>
      <c r="M61" s="31">
        <f>AQ61+MIN(W60+AG61-AQ61,MAX(0,ROUND(ROUND(Долги!$D$19-SUM($AL61:$AU61),2)-(SUM($H61:L61)-SUM($AL61:AP61)),2)))</f>
        <v>0.0</v>
      </c>
      <c r="N61" s="31">
        <f>AR61+MIN(X60+AH61-AR61,MAX(0,ROUND(ROUND(Долги!$D$19-SUM($AL61:$AU61),2)-(SUM($H61:M61)-SUM($AL61:AQ61)),2)))</f>
        <v>0.0</v>
      </c>
      <c r="O61" s="31">
        <f>AS61+MIN(Y60+AI61-AS61,MAX(0,ROUND(ROUND(Долги!$D$19-SUM($AL61:$AU61),2)-(SUM($H61:N61)-SUM($AL61:AR61)),2)))</f>
        <v>0.0</v>
      </c>
      <c r="P61" s="31">
        <f>AT61+MIN(Z60+AJ61-AT61,MAX(0,ROUND(ROUND(Долги!$D$19-SUM($AL61:$AU61),2)-(SUM($H61:O61)-SUM($AL61:AS61)),2)))</f>
        <v>0.0</v>
      </c>
      <c r="Q61" s="31">
        <f>AU61+MIN(AA60+AK61-AU61,MAX(0,ROUND(ROUND(Долги!$D$19-SUM($AL61:$AU61),2)-(SUM($H61:P61)-SUM($AL61:AT61)),2)))</f>
        <v>0.0</v>
      </c>
      <c r="R61" s="31">
        <f>IF(R60+AB61-H61&lt;=0.01,0,ROUND(R60+AB61-H61,2))</f>
        <v>0.0</v>
      </c>
      <c r="S61" s="31">
        <f>IF(S60+AC61-I61&lt;=0.01,0,ROUND(S60+AC61-I61,2))</f>
        <v>0.0</v>
      </c>
      <c r="T61" s="31">
        <f>IF(T60+AD61-J61&lt;=0.01,0,ROUND(T60+AD61-J61,2))</f>
        <v>0.0</v>
      </c>
      <c r="U61" s="31">
        <f>IF(U60+AE61-K61&lt;=0.01,0,ROUND(U60+AE61-K61,2))</f>
        <v>0.0</v>
      </c>
      <c r="V61" s="31">
        <f>IF(V60+AF61-L61&lt;=0.01,0,ROUND(V60+AF61-L61,2))</f>
        <v>0.0</v>
      </c>
      <c r="W61" s="31">
        <f>IF(W60+AG61-M61&lt;=0.01,0,ROUND(W60+AG61-M61,2))</f>
        <v>0.0</v>
      </c>
      <c r="X61" s="31">
        <f>IF(X60+AH61-N61&lt;=0.01,0,ROUND(X60+AH61-N61,2))</f>
        <v>0.0</v>
      </c>
      <c r="Y61" s="31">
        <f>IF(Y60+AI61-O61&lt;=0.01,0,ROUND(Y60+AI61-O61,2))</f>
        <v>0.0</v>
      </c>
      <c r="Z61" s="31">
        <f>IF(Z60+AJ61-P61&lt;=0.01,0,ROUND(Z60+AJ61-P61,2))</f>
        <v>0.0</v>
      </c>
      <c r="AA61" s="31">
        <f>IF(AA60+AK61-Q61&lt;=0.01,0,ROUND(AA60+AK61-Q61,2))</f>
        <v>0.0</v>
      </c>
      <c r="AB61" s="31">
        <f>ROUND(R60*AB$5/1200,2)</f>
        <v>0.0</v>
      </c>
      <c r="AC61" s="31">
        <f>ROUND(S60*AC$5/1200,2)</f>
        <v>0.0</v>
      </c>
      <c r="AD61" s="31">
        <f>ROUND(T60*AD$5/1200,2)</f>
        <v>0.0</v>
      </c>
      <c r="AE61" s="31">
        <f>ROUND(U60*AE$5/1200,2)</f>
        <v>0.0</v>
      </c>
      <c r="AF61" s="31">
        <f>ROUND(V60*AF$5/1200,2)</f>
        <v>0.0</v>
      </c>
      <c r="AG61" s="31">
        <f>ROUND(W60*AG$5/1200,2)</f>
        <v>0.0</v>
      </c>
      <c r="AH61" s="31">
        <f>ROUND(X60*AH$5/1200,2)</f>
        <v>0.0</v>
      </c>
      <c r="AI61" s="31">
        <f>ROUND(Y60*AI$5/1200,2)</f>
        <v>0.0</v>
      </c>
      <c r="AJ61" s="31">
        <f>ROUND(Z60*AJ$5/1200,2)</f>
        <v>0.0</v>
      </c>
      <c r="AK61" s="31">
        <f>ROUND(AA60*AK$5/1200,2)</f>
        <v>0.0</v>
      </c>
      <c r="AL61" s="31">
        <f>MIN(AL$5,R60+AB61)</f>
        <v>0.0</v>
      </c>
      <c r="AM61" s="31">
        <f>MIN(AM$5,S60+AC61)</f>
        <v>0.0</v>
      </c>
      <c r="AN61" s="31">
        <f>MIN(AN$5,T60+AD61)</f>
        <v>0.0</v>
      </c>
      <c r="AO61" s="31">
        <f>MIN(AO$5,U60+AE61)</f>
        <v>0.0</v>
      </c>
      <c r="AP61" s="31">
        <f>MIN(AP$5,V60+AF61)</f>
        <v>0.0</v>
      </c>
      <c r="AQ61" s="31">
        <f>MIN(AQ$5,W60+AG61)</f>
        <v>0.0</v>
      </c>
      <c r="AR61" s="31">
        <f>MIN(AR$5,X60+AH61)</f>
        <v>0.0</v>
      </c>
      <c r="AS61" s="31">
        <f>MIN(AS$5,Y60+AI61)</f>
        <v>0.0</v>
      </c>
      <c r="AT61" s="31">
        <f>MIN(AT$5,Z60+AJ61)</f>
        <v>0.0</v>
      </c>
      <c r="AU61" s="31">
        <f>MIN(AU$5,AA60+AK61)</f>
        <v>0.0</v>
      </c>
    </row>
    <row r="62">
      <c r="A62" s="25" t="str">
        <f>IF(F61&gt;0.005,57,"")</f>
        <v/>
      </c>
      <c r="B62" s="33" t="str">
        <f>IF(A62="","",EDATE(Долги!$D$5,56))</f>
        <v/>
      </c>
      <c r="C62" s="31">
        <f>SUM(H62:Q62)</f>
        <v>0.0</v>
      </c>
      <c r="D62" s="31">
        <f>SUM(AB62:AK62)</f>
        <v>0.0</v>
      </c>
      <c r="E62" s="31">
        <f>C62-D62</f>
        <v>0.0</v>
      </c>
      <c r="F62" s="31">
        <f>SUM(R62:AA62)</f>
        <v>0.0</v>
      </c>
      <c r="G62" s="34" t="str">
        <f>IF(OR(A62="",$F$5&lt;=0),"",REPT("█",ROUND(20*F62/$F$5,0)))</f>
        <v/>
      </c>
      <c r="H62" s="31">
        <f>AL62+MIN(R61+AB62-AL62,MAX(0,ROUND(Долги!$D$19-SUM($AL62:$AU62),2)))</f>
        <v>0.0</v>
      </c>
      <c r="I62" s="31">
        <f>AM62+MIN(S61+AC62-AM62,MAX(0,ROUND(ROUND(Долги!$D$19-SUM($AL62:$AU62),2)-(SUM($H62:H62)-SUM($AL62:AL62)),2)))</f>
        <v>0.0</v>
      </c>
      <c r="J62" s="31">
        <f>AN62+MIN(T61+AD62-AN62,MAX(0,ROUND(ROUND(Долги!$D$19-SUM($AL62:$AU62),2)-(SUM($H62:I62)-SUM($AL62:AM62)),2)))</f>
        <v>0.0</v>
      </c>
      <c r="K62" s="31">
        <f>AO62+MIN(U61+AE62-AO62,MAX(0,ROUND(ROUND(Долги!$D$19-SUM($AL62:$AU62),2)-(SUM($H62:J62)-SUM($AL62:AN62)),2)))</f>
        <v>0.0</v>
      </c>
      <c r="L62" s="31">
        <f>AP62+MIN(V61+AF62-AP62,MAX(0,ROUND(ROUND(Долги!$D$19-SUM($AL62:$AU62),2)-(SUM($H62:K62)-SUM($AL62:AO62)),2)))</f>
        <v>0.0</v>
      </c>
      <c r="M62" s="31">
        <f>AQ62+MIN(W61+AG62-AQ62,MAX(0,ROUND(ROUND(Долги!$D$19-SUM($AL62:$AU62),2)-(SUM($H62:L62)-SUM($AL62:AP62)),2)))</f>
        <v>0.0</v>
      </c>
      <c r="N62" s="31">
        <f>AR62+MIN(X61+AH62-AR62,MAX(0,ROUND(ROUND(Долги!$D$19-SUM($AL62:$AU62),2)-(SUM($H62:M62)-SUM($AL62:AQ62)),2)))</f>
        <v>0.0</v>
      </c>
      <c r="O62" s="31">
        <f>AS62+MIN(Y61+AI62-AS62,MAX(0,ROUND(ROUND(Долги!$D$19-SUM($AL62:$AU62),2)-(SUM($H62:N62)-SUM($AL62:AR62)),2)))</f>
        <v>0.0</v>
      </c>
      <c r="P62" s="31">
        <f>AT62+MIN(Z61+AJ62-AT62,MAX(0,ROUND(ROUND(Долги!$D$19-SUM($AL62:$AU62),2)-(SUM($H62:O62)-SUM($AL62:AS62)),2)))</f>
        <v>0.0</v>
      </c>
      <c r="Q62" s="31">
        <f>AU62+MIN(AA61+AK62-AU62,MAX(0,ROUND(ROUND(Долги!$D$19-SUM($AL62:$AU62),2)-(SUM($H62:P62)-SUM($AL62:AT62)),2)))</f>
        <v>0.0</v>
      </c>
      <c r="R62" s="31">
        <f>IF(R61+AB62-H62&lt;=0.01,0,ROUND(R61+AB62-H62,2))</f>
        <v>0.0</v>
      </c>
      <c r="S62" s="31">
        <f>IF(S61+AC62-I62&lt;=0.01,0,ROUND(S61+AC62-I62,2))</f>
        <v>0.0</v>
      </c>
      <c r="T62" s="31">
        <f>IF(T61+AD62-J62&lt;=0.01,0,ROUND(T61+AD62-J62,2))</f>
        <v>0.0</v>
      </c>
      <c r="U62" s="31">
        <f>IF(U61+AE62-K62&lt;=0.01,0,ROUND(U61+AE62-K62,2))</f>
        <v>0.0</v>
      </c>
      <c r="V62" s="31">
        <f>IF(V61+AF62-L62&lt;=0.01,0,ROUND(V61+AF62-L62,2))</f>
        <v>0.0</v>
      </c>
      <c r="W62" s="31">
        <f>IF(W61+AG62-M62&lt;=0.01,0,ROUND(W61+AG62-M62,2))</f>
        <v>0.0</v>
      </c>
      <c r="X62" s="31">
        <f>IF(X61+AH62-N62&lt;=0.01,0,ROUND(X61+AH62-N62,2))</f>
        <v>0.0</v>
      </c>
      <c r="Y62" s="31">
        <f>IF(Y61+AI62-O62&lt;=0.01,0,ROUND(Y61+AI62-O62,2))</f>
        <v>0.0</v>
      </c>
      <c r="Z62" s="31">
        <f>IF(Z61+AJ62-P62&lt;=0.01,0,ROUND(Z61+AJ62-P62,2))</f>
        <v>0.0</v>
      </c>
      <c r="AA62" s="31">
        <f>IF(AA61+AK62-Q62&lt;=0.01,0,ROUND(AA61+AK62-Q62,2))</f>
        <v>0.0</v>
      </c>
      <c r="AB62" s="31">
        <f>ROUND(R61*AB$5/1200,2)</f>
        <v>0.0</v>
      </c>
      <c r="AC62" s="31">
        <f>ROUND(S61*AC$5/1200,2)</f>
        <v>0.0</v>
      </c>
      <c r="AD62" s="31">
        <f>ROUND(T61*AD$5/1200,2)</f>
        <v>0.0</v>
      </c>
      <c r="AE62" s="31">
        <f>ROUND(U61*AE$5/1200,2)</f>
        <v>0.0</v>
      </c>
      <c r="AF62" s="31">
        <f>ROUND(V61*AF$5/1200,2)</f>
        <v>0.0</v>
      </c>
      <c r="AG62" s="31">
        <f>ROUND(W61*AG$5/1200,2)</f>
        <v>0.0</v>
      </c>
      <c r="AH62" s="31">
        <f>ROUND(X61*AH$5/1200,2)</f>
        <v>0.0</v>
      </c>
      <c r="AI62" s="31">
        <f>ROUND(Y61*AI$5/1200,2)</f>
        <v>0.0</v>
      </c>
      <c r="AJ62" s="31">
        <f>ROUND(Z61*AJ$5/1200,2)</f>
        <v>0.0</v>
      </c>
      <c r="AK62" s="31">
        <f>ROUND(AA61*AK$5/1200,2)</f>
        <v>0.0</v>
      </c>
      <c r="AL62" s="31">
        <f>MIN(AL$5,R61+AB62)</f>
        <v>0.0</v>
      </c>
      <c r="AM62" s="31">
        <f>MIN(AM$5,S61+AC62)</f>
        <v>0.0</v>
      </c>
      <c r="AN62" s="31">
        <f>MIN(AN$5,T61+AD62)</f>
        <v>0.0</v>
      </c>
      <c r="AO62" s="31">
        <f>MIN(AO$5,U61+AE62)</f>
        <v>0.0</v>
      </c>
      <c r="AP62" s="31">
        <f>MIN(AP$5,V61+AF62)</f>
        <v>0.0</v>
      </c>
      <c r="AQ62" s="31">
        <f>MIN(AQ$5,W61+AG62)</f>
        <v>0.0</v>
      </c>
      <c r="AR62" s="31">
        <f>MIN(AR$5,X61+AH62)</f>
        <v>0.0</v>
      </c>
      <c r="AS62" s="31">
        <f>MIN(AS$5,Y61+AI62)</f>
        <v>0.0</v>
      </c>
      <c r="AT62" s="31">
        <f>MIN(AT$5,Z61+AJ62)</f>
        <v>0.0</v>
      </c>
      <c r="AU62" s="31">
        <f>MIN(AU$5,AA61+AK62)</f>
        <v>0.0</v>
      </c>
    </row>
    <row r="63">
      <c r="A63" s="25" t="str">
        <f>IF(F62&gt;0.005,58,"")</f>
        <v/>
      </c>
      <c r="B63" s="33" t="str">
        <f>IF(A63="","",EDATE(Долги!$D$5,57))</f>
        <v/>
      </c>
      <c r="C63" s="31">
        <f>SUM(H63:Q63)</f>
        <v>0.0</v>
      </c>
      <c r="D63" s="31">
        <f>SUM(AB63:AK63)</f>
        <v>0.0</v>
      </c>
      <c r="E63" s="31">
        <f>C63-D63</f>
        <v>0.0</v>
      </c>
      <c r="F63" s="31">
        <f>SUM(R63:AA63)</f>
        <v>0.0</v>
      </c>
      <c r="G63" s="34" t="str">
        <f>IF(OR(A63="",$F$5&lt;=0),"",REPT("█",ROUND(20*F63/$F$5,0)))</f>
        <v/>
      </c>
      <c r="H63" s="31">
        <f>AL63+MIN(R62+AB63-AL63,MAX(0,ROUND(Долги!$D$19-SUM($AL63:$AU63),2)))</f>
        <v>0.0</v>
      </c>
      <c r="I63" s="31">
        <f>AM63+MIN(S62+AC63-AM63,MAX(0,ROUND(ROUND(Долги!$D$19-SUM($AL63:$AU63),2)-(SUM($H63:H63)-SUM($AL63:AL63)),2)))</f>
        <v>0.0</v>
      </c>
      <c r="J63" s="31">
        <f>AN63+MIN(T62+AD63-AN63,MAX(0,ROUND(ROUND(Долги!$D$19-SUM($AL63:$AU63),2)-(SUM($H63:I63)-SUM($AL63:AM63)),2)))</f>
        <v>0.0</v>
      </c>
      <c r="K63" s="31">
        <f>AO63+MIN(U62+AE63-AO63,MAX(0,ROUND(ROUND(Долги!$D$19-SUM($AL63:$AU63),2)-(SUM($H63:J63)-SUM($AL63:AN63)),2)))</f>
        <v>0.0</v>
      </c>
      <c r="L63" s="31">
        <f>AP63+MIN(V62+AF63-AP63,MAX(0,ROUND(ROUND(Долги!$D$19-SUM($AL63:$AU63),2)-(SUM($H63:K63)-SUM($AL63:AO63)),2)))</f>
        <v>0.0</v>
      </c>
      <c r="M63" s="31">
        <f>AQ63+MIN(W62+AG63-AQ63,MAX(0,ROUND(ROUND(Долги!$D$19-SUM($AL63:$AU63),2)-(SUM($H63:L63)-SUM($AL63:AP63)),2)))</f>
        <v>0.0</v>
      </c>
      <c r="N63" s="31">
        <f>AR63+MIN(X62+AH63-AR63,MAX(0,ROUND(ROUND(Долги!$D$19-SUM($AL63:$AU63),2)-(SUM($H63:M63)-SUM($AL63:AQ63)),2)))</f>
        <v>0.0</v>
      </c>
      <c r="O63" s="31">
        <f>AS63+MIN(Y62+AI63-AS63,MAX(0,ROUND(ROUND(Долги!$D$19-SUM($AL63:$AU63),2)-(SUM($H63:N63)-SUM($AL63:AR63)),2)))</f>
        <v>0.0</v>
      </c>
      <c r="P63" s="31">
        <f>AT63+MIN(Z62+AJ63-AT63,MAX(0,ROUND(ROUND(Долги!$D$19-SUM($AL63:$AU63),2)-(SUM($H63:O63)-SUM($AL63:AS63)),2)))</f>
        <v>0.0</v>
      </c>
      <c r="Q63" s="31">
        <f>AU63+MIN(AA62+AK63-AU63,MAX(0,ROUND(ROUND(Долги!$D$19-SUM($AL63:$AU63),2)-(SUM($H63:P63)-SUM($AL63:AT63)),2)))</f>
        <v>0.0</v>
      </c>
      <c r="R63" s="31">
        <f>IF(R62+AB63-H63&lt;=0.01,0,ROUND(R62+AB63-H63,2))</f>
        <v>0.0</v>
      </c>
      <c r="S63" s="31">
        <f>IF(S62+AC63-I63&lt;=0.01,0,ROUND(S62+AC63-I63,2))</f>
        <v>0.0</v>
      </c>
      <c r="T63" s="31">
        <f>IF(T62+AD63-J63&lt;=0.01,0,ROUND(T62+AD63-J63,2))</f>
        <v>0.0</v>
      </c>
      <c r="U63" s="31">
        <f>IF(U62+AE63-K63&lt;=0.01,0,ROUND(U62+AE63-K63,2))</f>
        <v>0.0</v>
      </c>
      <c r="V63" s="31">
        <f>IF(V62+AF63-L63&lt;=0.01,0,ROUND(V62+AF63-L63,2))</f>
        <v>0.0</v>
      </c>
      <c r="W63" s="31">
        <f>IF(W62+AG63-M63&lt;=0.01,0,ROUND(W62+AG63-M63,2))</f>
        <v>0.0</v>
      </c>
      <c r="X63" s="31">
        <f>IF(X62+AH63-N63&lt;=0.01,0,ROUND(X62+AH63-N63,2))</f>
        <v>0.0</v>
      </c>
      <c r="Y63" s="31">
        <f>IF(Y62+AI63-O63&lt;=0.01,0,ROUND(Y62+AI63-O63,2))</f>
        <v>0.0</v>
      </c>
      <c r="Z63" s="31">
        <f>IF(Z62+AJ63-P63&lt;=0.01,0,ROUND(Z62+AJ63-P63,2))</f>
        <v>0.0</v>
      </c>
      <c r="AA63" s="31">
        <f>IF(AA62+AK63-Q63&lt;=0.01,0,ROUND(AA62+AK63-Q63,2))</f>
        <v>0.0</v>
      </c>
      <c r="AB63" s="31">
        <f>ROUND(R62*AB$5/1200,2)</f>
        <v>0.0</v>
      </c>
      <c r="AC63" s="31">
        <f>ROUND(S62*AC$5/1200,2)</f>
        <v>0.0</v>
      </c>
      <c r="AD63" s="31">
        <f>ROUND(T62*AD$5/1200,2)</f>
        <v>0.0</v>
      </c>
      <c r="AE63" s="31">
        <f>ROUND(U62*AE$5/1200,2)</f>
        <v>0.0</v>
      </c>
      <c r="AF63" s="31">
        <f>ROUND(V62*AF$5/1200,2)</f>
        <v>0.0</v>
      </c>
      <c r="AG63" s="31">
        <f>ROUND(W62*AG$5/1200,2)</f>
        <v>0.0</v>
      </c>
      <c r="AH63" s="31">
        <f>ROUND(X62*AH$5/1200,2)</f>
        <v>0.0</v>
      </c>
      <c r="AI63" s="31">
        <f>ROUND(Y62*AI$5/1200,2)</f>
        <v>0.0</v>
      </c>
      <c r="AJ63" s="31">
        <f>ROUND(Z62*AJ$5/1200,2)</f>
        <v>0.0</v>
      </c>
      <c r="AK63" s="31">
        <f>ROUND(AA62*AK$5/1200,2)</f>
        <v>0.0</v>
      </c>
      <c r="AL63" s="31">
        <f>MIN(AL$5,R62+AB63)</f>
        <v>0.0</v>
      </c>
      <c r="AM63" s="31">
        <f>MIN(AM$5,S62+AC63)</f>
        <v>0.0</v>
      </c>
      <c r="AN63" s="31">
        <f>MIN(AN$5,T62+AD63)</f>
        <v>0.0</v>
      </c>
      <c r="AO63" s="31">
        <f>MIN(AO$5,U62+AE63)</f>
        <v>0.0</v>
      </c>
      <c r="AP63" s="31">
        <f>MIN(AP$5,V62+AF63)</f>
        <v>0.0</v>
      </c>
      <c r="AQ63" s="31">
        <f>MIN(AQ$5,W62+AG63)</f>
        <v>0.0</v>
      </c>
      <c r="AR63" s="31">
        <f>MIN(AR$5,X62+AH63)</f>
        <v>0.0</v>
      </c>
      <c r="AS63" s="31">
        <f>MIN(AS$5,Y62+AI63)</f>
        <v>0.0</v>
      </c>
      <c r="AT63" s="31">
        <f>MIN(AT$5,Z62+AJ63)</f>
        <v>0.0</v>
      </c>
      <c r="AU63" s="31">
        <f>MIN(AU$5,AA62+AK63)</f>
        <v>0.0</v>
      </c>
    </row>
    <row r="64">
      <c r="A64" s="25" t="str">
        <f>IF(F63&gt;0.005,59,"")</f>
        <v/>
      </c>
      <c r="B64" s="33" t="str">
        <f>IF(A64="","",EDATE(Долги!$D$5,58))</f>
        <v/>
      </c>
      <c r="C64" s="31">
        <f>SUM(H64:Q64)</f>
        <v>0.0</v>
      </c>
      <c r="D64" s="31">
        <f>SUM(AB64:AK64)</f>
        <v>0.0</v>
      </c>
      <c r="E64" s="31">
        <f>C64-D64</f>
        <v>0.0</v>
      </c>
      <c r="F64" s="31">
        <f>SUM(R64:AA64)</f>
        <v>0.0</v>
      </c>
      <c r="G64" s="34" t="str">
        <f>IF(OR(A64="",$F$5&lt;=0),"",REPT("█",ROUND(20*F64/$F$5,0)))</f>
        <v/>
      </c>
      <c r="H64" s="31">
        <f>AL64+MIN(R63+AB64-AL64,MAX(0,ROUND(Долги!$D$19-SUM($AL64:$AU64),2)))</f>
        <v>0.0</v>
      </c>
      <c r="I64" s="31">
        <f>AM64+MIN(S63+AC64-AM64,MAX(0,ROUND(ROUND(Долги!$D$19-SUM($AL64:$AU64),2)-(SUM($H64:H64)-SUM($AL64:AL64)),2)))</f>
        <v>0.0</v>
      </c>
      <c r="J64" s="31">
        <f>AN64+MIN(T63+AD64-AN64,MAX(0,ROUND(ROUND(Долги!$D$19-SUM($AL64:$AU64),2)-(SUM($H64:I64)-SUM($AL64:AM64)),2)))</f>
        <v>0.0</v>
      </c>
      <c r="K64" s="31">
        <f>AO64+MIN(U63+AE64-AO64,MAX(0,ROUND(ROUND(Долги!$D$19-SUM($AL64:$AU64),2)-(SUM($H64:J64)-SUM($AL64:AN64)),2)))</f>
        <v>0.0</v>
      </c>
      <c r="L64" s="31">
        <f>AP64+MIN(V63+AF64-AP64,MAX(0,ROUND(ROUND(Долги!$D$19-SUM($AL64:$AU64),2)-(SUM($H64:K64)-SUM($AL64:AO64)),2)))</f>
        <v>0.0</v>
      </c>
      <c r="M64" s="31">
        <f>AQ64+MIN(W63+AG64-AQ64,MAX(0,ROUND(ROUND(Долги!$D$19-SUM($AL64:$AU64),2)-(SUM($H64:L64)-SUM($AL64:AP64)),2)))</f>
        <v>0.0</v>
      </c>
      <c r="N64" s="31">
        <f>AR64+MIN(X63+AH64-AR64,MAX(0,ROUND(ROUND(Долги!$D$19-SUM($AL64:$AU64),2)-(SUM($H64:M64)-SUM($AL64:AQ64)),2)))</f>
        <v>0.0</v>
      </c>
      <c r="O64" s="31">
        <f>AS64+MIN(Y63+AI64-AS64,MAX(0,ROUND(ROUND(Долги!$D$19-SUM($AL64:$AU64),2)-(SUM($H64:N64)-SUM($AL64:AR64)),2)))</f>
        <v>0.0</v>
      </c>
      <c r="P64" s="31">
        <f>AT64+MIN(Z63+AJ64-AT64,MAX(0,ROUND(ROUND(Долги!$D$19-SUM($AL64:$AU64),2)-(SUM($H64:O64)-SUM($AL64:AS64)),2)))</f>
        <v>0.0</v>
      </c>
      <c r="Q64" s="31">
        <f>AU64+MIN(AA63+AK64-AU64,MAX(0,ROUND(ROUND(Долги!$D$19-SUM($AL64:$AU64),2)-(SUM($H64:P64)-SUM($AL64:AT64)),2)))</f>
        <v>0.0</v>
      </c>
      <c r="R64" s="31">
        <f>IF(R63+AB64-H64&lt;=0.01,0,ROUND(R63+AB64-H64,2))</f>
        <v>0.0</v>
      </c>
      <c r="S64" s="31">
        <f>IF(S63+AC64-I64&lt;=0.01,0,ROUND(S63+AC64-I64,2))</f>
        <v>0.0</v>
      </c>
      <c r="T64" s="31">
        <f>IF(T63+AD64-J64&lt;=0.01,0,ROUND(T63+AD64-J64,2))</f>
        <v>0.0</v>
      </c>
      <c r="U64" s="31">
        <f>IF(U63+AE64-K64&lt;=0.01,0,ROUND(U63+AE64-K64,2))</f>
        <v>0.0</v>
      </c>
      <c r="V64" s="31">
        <f>IF(V63+AF64-L64&lt;=0.01,0,ROUND(V63+AF64-L64,2))</f>
        <v>0.0</v>
      </c>
      <c r="W64" s="31">
        <f>IF(W63+AG64-M64&lt;=0.01,0,ROUND(W63+AG64-M64,2))</f>
        <v>0.0</v>
      </c>
      <c r="X64" s="31">
        <f>IF(X63+AH64-N64&lt;=0.01,0,ROUND(X63+AH64-N64,2))</f>
        <v>0.0</v>
      </c>
      <c r="Y64" s="31">
        <f>IF(Y63+AI64-O64&lt;=0.01,0,ROUND(Y63+AI64-O64,2))</f>
        <v>0.0</v>
      </c>
      <c r="Z64" s="31">
        <f>IF(Z63+AJ64-P64&lt;=0.01,0,ROUND(Z63+AJ64-P64,2))</f>
        <v>0.0</v>
      </c>
      <c r="AA64" s="31">
        <f>IF(AA63+AK64-Q64&lt;=0.01,0,ROUND(AA63+AK64-Q64,2))</f>
        <v>0.0</v>
      </c>
      <c r="AB64" s="31">
        <f>ROUND(R63*AB$5/1200,2)</f>
        <v>0.0</v>
      </c>
      <c r="AC64" s="31">
        <f>ROUND(S63*AC$5/1200,2)</f>
        <v>0.0</v>
      </c>
      <c r="AD64" s="31">
        <f>ROUND(T63*AD$5/1200,2)</f>
        <v>0.0</v>
      </c>
      <c r="AE64" s="31">
        <f>ROUND(U63*AE$5/1200,2)</f>
        <v>0.0</v>
      </c>
      <c r="AF64" s="31">
        <f>ROUND(V63*AF$5/1200,2)</f>
        <v>0.0</v>
      </c>
      <c r="AG64" s="31">
        <f>ROUND(W63*AG$5/1200,2)</f>
        <v>0.0</v>
      </c>
      <c r="AH64" s="31">
        <f>ROUND(X63*AH$5/1200,2)</f>
        <v>0.0</v>
      </c>
      <c r="AI64" s="31">
        <f>ROUND(Y63*AI$5/1200,2)</f>
        <v>0.0</v>
      </c>
      <c r="AJ64" s="31">
        <f>ROUND(Z63*AJ$5/1200,2)</f>
        <v>0.0</v>
      </c>
      <c r="AK64" s="31">
        <f>ROUND(AA63*AK$5/1200,2)</f>
        <v>0.0</v>
      </c>
      <c r="AL64" s="31">
        <f>MIN(AL$5,R63+AB64)</f>
        <v>0.0</v>
      </c>
      <c r="AM64" s="31">
        <f>MIN(AM$5,S63+AC64)</f>
        <v>0.0</v>
      </c>
      <c r="AN64" s="31">
        <f>MIN(AN$5,T63+AD64)</f>
        <v>0.0</v>
      </c>
      <c r="AO64" s="31">
        <f>MIN(AO$5,U63+AE64)</f>
        <v>0.0</v>
      </c>
      <c r="AP64" s="31">
        <f>MIN(AP$5,V63+AF64)</f>
        <v>0.0</v>
      </c>
      <c r="AQ64" s="31">
        <f>MIN(AQ$5,W63+AG64)</f>
        <v>0.0</v>
      </c>
      <c r="AR64" s="31">
        <f>MIN(AR$5,X63+AH64)</f>
        <v>0.0</v>
      </c>
      <c r="AS64" s="31">
        <f>MIN(AS$5,Y63+AI64)</f>
        <v>0.0</v>
      </c>
      <c r="AT64" s="31">
        <f>MIN(AT$5,Z63+AJ64)</f>
        <v>0.0</v>
      </c>
      <c r="AU64" s="31">
        <f>MIN(AU$5,AA63+AK64)</f>
        <v>0.0</v>
      </c>
    </row>
    <row r="65">
      <c r="A65" s="25" t="str">
        <f>IF(F64&gt;0.005,60,"")</f>
        <v/>
      </c>
      <c r="B65" s="33" t="str">
        <f>IF(A65="","",EDATE(Долги!$D$5,59))</f>
        <v/>
      </c>
      <c r="C65" s="31">
        <f>SUM(H65:Q65)</f>
        <v>0.0</v>
      </c>
      <c r="D65" s="31">
        <f>SUM(AB65:AK65)</f>
        <v>0.0</v>
      </c>
      <c r="E65" s="31">
        <f>C65-D65</f>
        <v>0.0</v>
      </c>
      <c r="F65" s="31">
        <f>SUM(R65:AA65)</f>
        <v>0.0</v>
      </c>
      <c r="G65" s="34" t="str">
        <f>IF(OR(A65="",$F$5&lt;=0),"",REPT("█",ROUND(20*F65/$F$5,0)))</f>
        <v/>
      </c>
      <c r="H65" s="31">
        <f>AL65+MIN(R64+AB65-AL65,MAX(0,ROUND(Долги!$D$19-SUM($AL65:$AU65),2)))</f>
        <v>0.0</v>
      </c>
      <c r="I65" s="31">
        <f>AM65+MIN(S64+AC65-AM65,MAX(0,ROUND(ROUND(Долги!$D$19-SUM($AL65:$AU65),2)-(SUM($H65:H65)-SUM($AL65:AL65)),2)))</f>
        <v>0.0</v>
      </c>
      <c r="J65" s="31">
        <f>AN65+MIN(T64+AD65-AN65,MAX(0,ROUND(ROUND(Долги!$D$19-SUM($AL65:$AU65),2)-(SUM($H65:I65)-SUM($AL65:AM65)),2)))</f>
        <v>0.0</v>
      </c>
      <c r="K65" s="31">
        <f>AO65+MIN(U64+AE65-AO65,MAX(0,ROUND(ROUND(Долги!$D$19-SUM($AL65:$AU65),2)-(SUM($H65:J65)-SUM($AL65:AN65)),2)))</f>
        <v>0.0</v>
      </c>
      <c r="L65" s="31">
        <f>AP65+MIN(V64+AF65-AP65,MAX(0,ROUND(ROUND(Долги!$D$19-SUM($AL65:$AU65),2)-(SUM($H65:K65)-SUM($AL65:AO65)),2)))</f>
        <v>0.0</v>
      </c>
      <c r="M65" s="31">
        <f>AQ65+MIN(W64+AG65-AQ65,MAX(0,ROUND(ROUND(Долги!$D$19-SUM($AL65:$AU65),2)-(SUM($H65:L65)-SUM($AL65:AP65)),2)))</f>
        <v>0.0</v>
      </c>
      <c r="N65" s="31">
        <f>AR65+MIN(X64+AH65-AR65,MAX(0,ROUND(ROUND(Долги!$D$19-SUM($AL65:$AU65),2)-(SUM($H65:M65)-SUM($AL65:AQ65)),2)))</f>
        <v>0.0</v>
      </c>
      <c r="O65" s="31">
        <f>AS65+MIN(Y64+AI65-AS65,MAX(0,ROUND(ROUND(Долги!$D$19-SUM($AL65:$AU65),2)-(SUM($H65:N65)-SUM($AL65:AR65)),2)))</f>
        <v>0.0</v>
      </c>
      <c r="P65" s="31">
        <f>AT65+MIN(Z64+AJ65-AT65,MAX(0,ROUND(ROUND(Долги!$D$19-SUM($AL65:$AU65),2)-(SUM($H65:O65)-SUM($AL65:AS65)),2)))</f>
        <v>0.0</v>
      </c>
      <c r="Q65" s="31">
        <f>AU65+MIN(AA64+AK65-AU65,MAX(0,ROUND(ROUND(Долги!$D$19-SUM($AL65:$AU65),2)-(SUM($H65:P65)-SUM($AL65:AT65)),2)))</f>
        <v>0.0</v>
      </c>
      <c r="R65" s="31">
        <f>IF(R64+AB65-H65&lt;=0.01,0,ROUND(R64+AB65-H65,2))</f>
        <v>0.0</v>
      </c>
      <c r="S65" s="31">
        <f>IF(S64+AC65-I65&lt;=0.01,0,ROUND(S64+AC65-I65,2))</f>
        <v>0.0</v>
      </c>
      <c r="T65" s="31">
        <f>IF(T64+AD65-J65&lt;=0.01,0,ROUND(T64+AD65-J65,2))</f>
        <v>0.0</v>
      </c>
      <c r="U65" s="31">
        <f>IF(U64+AE65-K65&lt;=0.01,0,ROUND(U64+AE65-K65,2))</f>
        <v>0.0</v>
      </c>
      <c r="V65" s="31">
        <f>IF(V64+AF65-L65&lt;=0.01,0,ROUND(V64+AF65-L65,2))</f>
        <v>0.0</v>
      </c>
      <c r="W65" s="31">
        <f>IF(W64+AG65-M65&lt;=0.01,0,ROUND(W64+AG65-M65,2))</f>
        <v>0.0</v>
      </c>
      <c r="X65" s="31">
        <f>IF(X64+AH65-N65&lt;=0.01,0,ROUND(X64+AH65-N65,2))</f>
        <v>0.0</v>
      </c>
      <c r="Y65" s="31">
        <f>IF(Y64+AI65-O65&lt;=0.01,0,ROUND(Y64+AI65-O65,2))</f>
        <v>0.0</v>
      </c>
      <c r="Z65" s="31">
        <f>IF(Z64+AJ65-P65&lt;=0.01,0,ROUND(Z64+AJ65-P65,2))</f>
        <v>0.0</v>
      </c>
      <c r="AA65" s="31">
        <f>IF(AA64+AK65-Q65&lt;=0.01,0,ROUND(AA64+AK65-Q65,2))</f>
        <v>0.0</v>
      </c>
      <c r="AB65" s="31">
        <f>ROUND(R64*AB$5/1200,2)</f>
        <v>0.0</v>
      </c>
      <c r="AC65" s="31">
        <f>ROUND(S64*AC$5/1200,2)</f>
        <v>0.0</v>
      </c>
      <c r="AD65" s="31">
        <f>ROUND(T64*AD$5/1200,2)</f>
        <v>0.0</v>
      </c>
      <c r="AE65" s="31">
        <f>ROUND(U64*AE$5/1200,2)</f>
        <v>0.0</v>
      </c>
      <c r="AF65" s="31">
        <f>ROUND(V64*AF$5/1200,2)</f>
        <v>0.0</v>
      </c>
      <c r="AG65" s="31">
        <f>ROUND(W64*AG$5/1200,2)</f>
        <v>0.0</v>
      </c>
      <c r="AH65" s="31">
        <f>ROUND(X64*AH$5/1200,2)</f>
        <v>0.0</v>
      </c>
      <c r="AI65" s="31">
        <f>ROUND(Y64*AI$5/1200,2)</f>
        <v>0.0</v>
      </c>
      <c r="AJ65" s="31">
        <f>ROUND(Z64*AJ$5/1200,2)</f>
        <v>0.0</v>
      </c>
      <c r="AK65" s="31">
        <f>ROUND(AA64*AK$5/1200,2)</f>
        <v>0.0</v>
      </c>
      <c r="AL65" s="31">
        <f>MIN(AL$5,R64+AB65)</f>
        <v>0.0</v>
      </c>
      <c r="AM65" s="31">
        <f>MIN(AM$5,S64+AC65)</f>
        <v>0.0</v>
      </c>
      <c r="AN65" s="31">
        <f>MIN(AN$5,T64+AD65)</f>
        <v>0.0</v>
      </c>
      <c r="AO65" s="31">
        <f>MIN(AO$5,U64+AE65)</f>
        <v>0.0</v>
      </c>
      <c r="AP65" s="31">
        <f>MIN(AP$5,V64+AF65)</f>
        <v>0.0</v>
      </c>
      <c r="AQ65" s="31">
        <f>MIN(AQ$5,W64+AG65)</f>
        <v>0.0</v>
      </c>
      <c r="AR65" s="31">
        <f>MIN(AR$5,X64+AH65)</f>
        <v>0.0</v>
      </c>
      <c r="AS65" s="31">
        <f>MIN(AS$5,Y64+AI65)</f>
        <v>0.0</v>
      </c>
      <c r="AT65" s="31">
        <f>MIN(AT$5,Z64+AJ65)</f>
        <v>0.0</v>
      </c>
      <c r="AU65" s="31">
        <f>MIN(AU$5,AA64+AK65)</f>
        <v>0.0</v>
      </c>
    </row>
    <row r="66">
      <c r="A66" s="25" t="str">
        <f>IF(F65&gt;0.005,61,"")</f>
        <v/>
      </c>
      <c r="B66" s="33" t="str">
        <f>IF(A66="","",EDATE(Долги!$D$5,60))</f>
        <v/>
      </c>
      <c r="C66" s="31">
        <f>SUM(H66:Q66)</f>
        <v>0.0</v>
      </c>
      <c r="D66" s="31">
        <f>SUM(AB66:AK66)</f>
        <v>0.0</v>
      </c>
      <c r="E66" s="31">
        <f>C66-D66</f>
        <v>0.0</v>
      </c>
      <c r="F66" s="31">
        <f>SUM(R66:AA66)</f>
        <v>0.0</v>
      </c>
      <c r="G66" s="34" t="str">
        <f>IF(OR(A66="",$F$5&lt;=0),"",REPT("█",ROUND(20*F66/$F$5,0)))</f>
        <v/>
      </c>
      <c r="H66" s="31">
        <f>AL66+MIN(R65+AB66-AL66,MAX(0,ROUND(Долги!$D$19-SUM($AL66:$AU66),2)))</f>
        <v>0.0</v>
      </c>
      <c r="I66" s="31">
        <f>AM66+MIN(S65+AC66-AM66,MAX(0,ROUND(ROUND(Долги!$D$19-SUM($AL66:$AU66),2)-(SUM($H66:H66)-SUM($AL66:AL66)),2)))</f>
        <v>0.0</v>
      </c>
      <c r="J66" s="31">
        <f>AN66+MIN(T65+AD66-AN66,MAX(0,ROUND(ROUND(Долги!$D$19-SUM($AL66:$AU66),2)-(SUM($H66:I66)-SUM($AL66:AM66)),2)))</f>
        <v>0.0</v>
      </c>
      <c r="K66" s="31">
        <f>AO66+MIN(U65+AE66-AO66,MAX(0,ROUND(ROUND(Долги!$D$19-SUM($AL66:$AU66),2)-(SUM($H66:J66)-SUM($AL66:AN66)),2)))</f>
        <v>0.0</v>
      </c>
      <c r="L66" s="31">
        <f>AP66+MIN(V65+AF66-AP66,MAX(0,ROUND(ROUND(Долги!$D$19-SUM($AL66:$AU66),2)-(SUM($H66:K66)-SUM($AL66:AO66)),2)))</f>
        <v>0.0</v>
      </c>
      <c r="M66" s="31">
        <f>AQ66+MIN(W65+AG66-AQ66,MAX(0,ROUND(ROUND(Долги!$D$19-SUM($AL66:$AU66),2)-(SUM($H66:L66)-SUM($AL66:AP66)),2)))</f>
        <v>0.0</v>
      </c>
      <c r="N66" s="31">
        <f>AR66+MIN(X65+AH66-AR66,MAX(0,ROUND(ROUND(Долги!$D$19-SUM($AL66:$AU66),2)-(SUM($H66:M66)-SUM($AL66:AQ66)),2)))</f>
        <v>0.0</v>
      </c>
      <c r="O66" s="31">
        <f>AS66+MIN(Y65+AI66-AS66,MAX(0,ROUND(ROUND(Долги!$D$19-SUM($AL66:$AU66),2)-(SUM($H66:N66)-SUM($AL66:AR66)),2)))</f>
        <v>0.0</v>
      </c>
      <c r="P66" s="31">
        <f>AT66+MIN(Z65+AJ66-AT66,MAX(0,ROUND(ROUND(Долги!$D$19-SUM($AL66:$AU66),2)-(SUM($H66:O66)-SUM($AL66:AS66)),2)))</f>
        <v>0.0</v>
      </c>
      <c r="Q66" s="31">
        <f>AU66+MIN(AA65+AK66-AU66,MAX(0,ROUND(ROUND(Долги!$D$19-SUM($AL66:$AU66),2)-(SUM($H66:P66)-SUM($AL66:AT66)),2)))</f>
        <v>0.0</v>
      </c>
      <c r="R66" s="31">
        <f>IF(R65+AB66-H66&lt;=0.01,0,ROUND(R65+AB66-H66,2))</f>
        <v>0.0</v>
      </c>
      <c r="S66" s="31">
        <f>IF(S65+AC66-I66&lt;=0.01,0,ROUND(S65+AC66-I66,2))</f>
        <v>0.0</v>
      </c>
      <c r="T66" s="31">
        <f>IF(T65+AD66-J66&lt;=0.01,0,ROUND(T65+AD66-J66,2))</f>
        <v>0.0</v>
      </c>
      <c r="U66" s="31">
        <f>IF(U65+AE66-K66&lt;=0.01,0,ROUND(U65+AE66-K66,2))</f>
        <v>0.0</v>
      </c>
      <c r="V66" s="31">
        <f>IF(V65+AF66-L66&lt;=0.01,0,ROUND(V65+AF66-L66,2))</f>
        <v>0.0</v>
      </c>
      <c r="W66" s="31">
        <f>IF(W65+AG66-M66&lt;=0.01,0,ROUND(W65+AG66-M66,2))</f>
        <v>0.0</v>
      </c>
      <c r="X66" s="31">
        <f>IF(X65+AH66-N66&lt;=0.01,0,ROUND(X65+AH66-N66,2))</f>
        <v>0.0</v>
      </c>
      <c r="Y66" s="31">
        <f>IF(Y65+AI66-O66&lt;=0.01,0,ROUND(Y65+AI66-O66,2))</f>
        <v>0.0</v>
      </c>
      <c r="Z66" s="31">
        <f>IF(Z65+AJ66-P66&lt;=0.01,0,ROUND(Z65+AJ66-P66,2))</f>
        <v>0.0</v>
      </c>
      <c r="AA66" s="31">
        <f>IF(AA65+AK66-Q66&lt;=0.01,0,ROUND(AA65+AK66-Q66,2))</f>
        <v>0.0</v>
      </c>
      <c r="AB66" s="31">
        <f>ROUND(R65*AB$5/1200,2)</f>
        <v>0.0</v>
      </c>
      <c r="AC66" s="31">
        <f>ROUND(S65*AC$5/1200,2)</f>
        <v>0.0</v>
      </c>
      <c r="AD66" s="31">
        <f>ROUND(T65*AD$5/1200,2)</f>
        <v>0.0</v>
      </c>
      <c r="AE66" s="31">
        <f>ROUND(U65*AE$5/1200,2)</f>
        <v>0.0</v>
      </c>
      <c r="AF66" s="31">
        <f>ROUND(V65*AF$5/1200,2)</f>
        <v>0.0</v>
      </c>
      <c r="AG66" s="31">
        <f>ROUND(W65*AG$5/1200,2)</f>
        <v>0.0</v>
      </c>
      <c r="AH66" s="31">
        <f>ROUND(X65*AH$5/1200,2)</f>
        <v>0.0</v>
      </c>
      <c r="AI66" s="31">
        <f>ROUND(Y65*AI$5/1200,2)</f>
        <v>0.0</v>
      </c>
      <c r="AJ66" s="31">
        <f>ROUND(Z65*AJ$5/1200,2)</f>
        <v>0.0</v>
      </c>
      <c r="AK66" s="31">
        <f>ROUND(AA65*AK$5/1200,2)</f>
        <v>0.0</v>
      </c>
      <c r="AL66" s="31">
        <f>MIN(AL$5,R65+AB66)</f>
        <v>0.0</v>
      </c>
      <c r="AM66" s="31">
        <f>MIN(AM$5,S65+AC66)</f>
        <v>0.0</v>
      </c>
      <c r="AN66" s="31">
        <f>MIN(AN$5,T65+AD66)</f>
        <v>0.0</v>
      </c>
      <c r="AO66" s="31">
        <f>MIN(AO$5,U65+AE66)</f>
        <v>0.0</v>
      </c>
      <c r="AP66" s="31">
        <f>MIN(AP$5,V65+AF66)</f>
        <v>0.0</v>
      </c>
      <c r="AQ66" s="31">
        <f>MIN(AQ$5,W65+AG66)</f>
        <v>0.0</v>
      </c>
      <c r="AR66" s="31">
        <f>MIN(AR$5,X65+AH66)</f>
        <v>0.0</v>
      </c>
      <c r="AS66" s="31">
        <f>MIN(AS$5,Y65+AI66)</f>
        <v>0.0</v>
      </c>
      <c r="AT66" s="31">
        <f>MIN(AT$5,Z65+AJ66)</f>
        <v>0.0</v>
      </c>
      <c r="AU66" s="31">
        <f>MIN(AU$5,AA65+AK66)</f>
        <v>0.0</v>
      </c>
    </row>
    <row r="67">
      <c r="A67" s="25" t="str">
        <f>IF(F66&gt;0.005,62,"")</f>
        <v/>
      </c>
      <c r="B67" s="33" t="str">
        <f>IF(A67="","",EDATE(Долги!$D$5,61))</f>
        <v/>
      </c>
      <c r="C67" s="31">
        <f>SUM(H67:Q67)</f>
        <v>0.0</v>
      </c>
      <c r="D67" s="31">
        <f>SUM(AB67:AK67)</f>
        <v>0.0</v>
      </c>
      <c r="E67" s="31">
        <f>C67-D67</f>
        <v>0.0</v>
      </c>
      <c r="F67" s="31">
        <f>SUM(R67:AA67)</f>
        <v>0.0</v>
      </c>
      <c r="G67" s="34" t="str">
        <f>IF(OR(A67="",$F$5&lt;=0),"",REPT("█",ROUND(20*F67/$F$5,0)))</f>
        <v/>
      </c>
      <c r="H67" s="31">
        <f>AL67+MIN(R66+AB67-AL67,MAX(0,ROUND(Долги!$D$19-SUM($AL67:$AU67),2)))</f>
        <v>0.0</v>
      </c>
      <c r="I67" s="31">
        <f>AM67+MIN(S66+AC67-AM67,MAX(0,ROUND(ROUND(Долги!$D$19-SUM($AL67:$AU67),2)-(SUM($H67:H67)-SUM($AL67:AL67)),2)))</f>
        <v>0.0</v>
      </c>
      <c r="J67" s="31">
        <f>AN67+MIN(T66+AD67-AN67,MAX(0,ROUND(ROUND(Долги!$D$19-SUM($AL67:$AU67),2)-(SUM($H67:I67)-SUM($AL67:AM67)),2)))</f>
        <v>0.0</v>
      </c>
      <c r="K67" s="31">
        <f>AO67+MIN(U66+AE67-AO67,MAX(0,ROUND(ROUND(Долги!$D$19-SUM($AL67:$AU67),2)-(SUM($H67:J67)-SUM($AL67:AN67)),2)))</f>
        <v>0.0</v>
      </c>
      <c r="L67" s="31">
        <f>AP67+MIN(V66+AF67-AP67,MAX(0,ROUND(ROUND(Долги!$D$19-SUM($AL67:$AU67),2)-(SUM($H67:K67)-SUM($AL67:AO67)),2)))</f>
        <v>0.0</v>
      </c>
      <c r="M67" s="31">
        <f>AQ67+MIN(W66+AG67-AQ67,MAX(0,ROUND(ROUND(Долги!$D$19-SUM($AL67:$AU67),2)-(SUM($H67:L67)-SUM($AL67:AP67)),2)))</f>
        <v>0.0</v>
      </c>
      <c r="N67" s="31">
        <f>AR67+MIN(X66+AH67-AR67,MAX(0,ROUND(ROUND(Долги!$D$19-SUM($AL67:$AU67),2)-(SUM($H67:M67)-SUM($AL67:AQ67)),2)))</f>
        <v>0.0</v>
      </c>
      <c r="O67" s="31">
        <f>AS67+MIN(Y66+AI67-AS67,MAX(0,ROUND(ROUND(Долги!$D$19-SUM($AL67:$AU67),2)-(SUM($H67:N67)-SUM($AL67:AR67)),2)))</f>
        <v>0.0</v>
      </c>
      <c r="P67" s="31">
        <f>AT67+MIN(Z66+AJ67-AT67,MAX(0,ROUND(ROUND(Долги!$D$19-SUM($AL67:$AU67),2)-(SUM($H67:O67)-SUM($AL67:AS67)),2)))</f>
        <v>0.0</v>
      </c>
      <c r="Q67" s="31">
        <f>AU67+MIN(AA66+AK67-AU67,MAX(0,ROUND(ROUND(Долги!$D$19-SUM($AL67:$AU67),2)-(SUM($H67:P67)-SUM($AL67:AT67)),2)))</f>
        <v>0.0</v>
      </c>
      <c r="R67" s="31">
        <f>IF(R66+AB67-H67&lt;=0.01,0,ROUND(R66+AB67-H67,2))</f>
        <v>0.0</v>
      </c>
      <c r="S67" s="31">
        <f>IF(S66+AC67-I67&lt;=0.01,0,ROUND(S66+AC67-I67,2))</f>
        <v>0.0</v>
      </c>
      <c r="T67" s="31">
        <f>IF(T66+AD67-J67&lt;=0.01,0,ROUND(T66+AD67-J67,2))</f>
        <v>0.0</v>
      </c>
      <c r="U67" s="31">
        <f>IF(U66+AE67-K67&lt;=0.01,0,ROUND(U66+AE67-K67,2))</f>
        <v>0.0</v>
      </c>
      <c r="V67" s="31">
        <f>IF(V66+AF67-L67&lt;=0.01,0,ROUND(V66+AF67-L67,2))</f>
        <v>0.0</v>
      </c>
      <c r="W67" s="31">
        <f>IF(W66+AG67-M67&lt;=0.01,0,ROUND(W66+AG67-M67,2))</f>
        <v>0.0</v>
      </c>
      <c r="X67" s="31">
        <f>IF(X66+AH67-N67&lt;=0.01,0,ROUND(X66+AH67-N67,2))</f>
        <v>0.0</v>
      </c>
      <c r="Y67" s="31">
        <f>IF(Y66+AI67-O67&lt;=0.01,0,ROUND(Y66+AI67-O67,2))</f>
        <v>0.0</v>
      </c>
      <c r="Z67" s="31">
        <f>IF(Z66+AJ67-P67&lt;=0.01,0,ROUND(Z66+AJ67-P67,2))</f>
        <v>0.0</v>
      </c>
      <c r="AA67" s="31">
        <f>IF(AA66+AK67-Q67&lt;=0.01,0,ROUND(AA66+AK67-Q67,2))</f>
        <v>0.0</v>
      </c>
      <c r="AB67" s="31">
        <f>ROUND(R66*AB$5/1200,2)</f>
        <v>0.0</v>
      </c>
      <c r="AC67" s="31">
        <f>ROUND(S66*AC$5/1200,2)</f>
        <v>0.0</v>
      </c>
      <c r="AD67" s="31">
        <f>ROUND(T66*AD$5/1200,2)</f>
        <v>0.0</v>
      </c>
      <c r="AE67" s="31">
        <f>ROUND(U66*AE$5/1200,2)</f>
        <v>0.0</v>
      </c>
      <c r="AF67" s="31">
        <f>ROUND(V66*AF$5/1200,2)</f>
        <v>0.0</v>
      </c>
      <c r="AG67" s="31">
        <f>ROUND(W66*AG$5/1200,2)</f>
        <v>0.0</v>
      </c>
      <c r="AH67" s="31">
        <f>ROUND(X66*AH$5/1200,2)</f>
        <v>0.0</v>
      </c>
      <c r="AI67" s="31">
        <f>ROUND(Y66*AI$5/1200,2)</f>
        <v>0.0</v>
      </c>
      <c r="AJ67" s="31">
        <f>ROUND(Z66*AJ$5/1200,2)</f>
        <v>0.0</v>
      </c>
      <c r="AK67" s="31">
        <f>ROUND(AA66*AK$5/1200,2)</f>
        <v>0.0</v>
      </c>
      <c r="AL67" s="31">
        <f>MIN(AL$5,R66+AB67)</f>
        <v>0.0</v>
      </c>
      <c r="AM67" s="31">
        <f>MIN(AM$5,S66+AC67)</f>
        <v>0.0</v>
      </c>
      <c r="AN67" s="31">
        <f>MIN(AN$5,T66+AD67)</f>
        <v>0.0</v>
      </c>
      <c r="AO67" s="31">
        <f>MIN(AO$5,U66+AE67)</f>
        <v>0.0</v>
      </c>
      <c r="AP67" s="31">
        <f>MIN(AP$5,V66+AF67)</f>
        <v>0.0</v>
      </c>
      <c r="AQ67" s="31">
        <f>MIN(AQ$5,W66+AG67)</f>
        <v>0.0</v>
      </c>
      <c r="AR67" s="31">
        <f>MIN(AR$5,X66+AH67)</f>
        <v>0.0</v>
      </c>
      <c r="AS67" s="31">
        <f>MIN(AS$5,Y66+AI67)</f>
        <v>0.0</v>
      </c>
      <c r="AT67" s="31">
        <f>MIN(AT$5,Z66+AJ67)</f>
        <v>0.0</v>
      </c>
      <c r="AU67" s="31">
        <f>MIN(AU$5,AA66+AK67)</f>
        <v>0.0</v>
      </c>
    </row>
    <row r="68">
      <c r="A68" s="25" t="str">
        <f>IF(F67&gt;0.005,63,"")</f>
        <v/>
      </c>
      <c r="B68" s="33" t="str">
        <f>IF(A68="","",EDATE(Долги!$D$5,62))</f>
        <v/>
      </c>
      <c r="C68" s="31">
        <f>SUM(H68:Q68)</f>
        <v>0.0</v>
      </c>
      <c r="D68" s="31">
        <f>SUM(AB68:AK68)</f>
        <v>0.0</v>
      </c>
      <c r="E68" s="31">
        <f>C68-D68</f>
        <v>0.0</v>
      </c>
      <c r="F68" s="31">
        <f>SUM(R68:AA68)</f>
        <v>0.0</v>
      </c>
      <c r="G68" s="34" t="str">
        <f>IF(OR(A68="",$F$5&lt;=0),"",REPT("█",ROUND(20*F68/$F$5,0)))</f>
        <v/>
      </c>
      <c r="H68" s="31">
        <f>AL68+MIN(R67+AB68-AL68,MAX(0,ROUND(Долги!$D$19-SUM($AL68:$AU68),2)))</f>
        <v>0.0</v>
      </c>
      <c r="I68" s="31">
        <f>AM68+MIN(S67+AC68-AM68,MAX(0,ROUND(ROUND(Долги!$D$19-SUM($AL68:$AU68),2)-(SUM($H68:H68)-SUM($AL68:AL68)),2)))</f>
        <v>0.0</v>
      </c>
      <c r="J68" s="31">
        <f>AN68+MIN(T67+AD68-AN68,MAX(0,ROUND(ROUND(Долги!$D$19-SUM($AL68:$AU68),2)-(SUM($H68:I68)-SUM($AL68:AM68)),2)))</f>
        <v>0.0</v>
      </c>
      <c r="K68" s="31">
        <f>AO68+MIN(U67+AE68-AO68,MAX(0,ROUND(ROUND(Долги!$D$19-SUM($AL68:$AU68),2)-(SUM($H68:J68)-SUM($AL68:AN68)),2)))</f>
        <v>0.0</v>
      </c>
      <c r="L68" s="31">
        <f>AP68+MIN(V67+AF68-AP68,MAX(0,ROUND(ROUND(Долги!$D$19-SUM($AL68:$AU68),2)-(SUM($H68:K68)-SUM($AL68:AO68)),2)))</f>
        <v>0.0</v>
      </c>
      <c r="M68" s="31">
        <f>AQ68+MIN(W67+AG68-AQ68,MAX(0,ROUND(ROUND(Долги!$D$19-SUM($AL68:$AU68),2)-(SUM($H68:L68)-SUM($AL68:AP68)),2)))</f>
        <v>0.0</v>
      </c>
      <c r="N68" s="31">
        <f>AR68+MIN(X67+AH68-AR68,MAX(0,ROUND(ROUND(Долги!$D$19-SUM($AL68:$AU68),2)-(SUM($H68:M68)-SUM($AL68:AQ68)),2)))</f>
        <v>0.0</v>
      </c>
      <c r="O68" s="31">
        <f>AS68+MIN(Y67+AI68-AS68,MAX(0,ROUND(ROUND(Долги!$D$19-SUM($AL68:$AU68),2)-(SUM($H68:N68)-SUM($AL68:AR68)),2)))</f>
        <v>0.0</v>
      </c>
      <c r="P68" s="31">
        <f>AT68+MIN(Z67+AJ68-AT68,MAX(0,ROUND(ROUND(Долги!$D$19-SUM($AL68:$AU68),2)-(SUM($H68:O68)-SUM($AL68:AS68)),2)))</f>
        <v>0.0</v>
      </c>
      <c r="Q68" s="31">
        <f>AU68+MIN(AA67+AK68-AU68,MAX(0,ROUND(ROUND(Долги!$D$19-SUM($AL68:$AU68),2)-(SUM($H68:P68)-SUM($AL68:AT68)),2)))</f>
        <v>0.0</v>
      </c>
      <c r="R68" s="31">
        <f>IF(R67+AB68-H68&lt;=0.01,0,ROUND(R67+AB68-H68,2))</f>
        <v>0.0</v>
      </c>
      <c r="S68" s="31">
        <f>IF(S67+AC68-I68&lt;=0.01,0,ROUND(S67+AC68-I68,2))</f>
        <v>0.0</v>
      </c>
      <c r="T68" s="31">
        <f>IF(T67+AD68-J68&lt;=0.01,0,ROUND(T67+AD68-J68,2))</f>
        <v>0.0</v>
      </c>
      <c r="U68" s="31">
        <f>IF(U67+AE68-K68&lt;=0.01,0,ROUND(U67+AE68-K68,2))</f>
        <v>0.0</v>
      </c>
      <c r="V68" s="31">
        <f>IF(V67+AF68-L68&lt;=0.01,0,ROUND(V67+AF68-L68,2))</f>
        <v>0.0</v>
      </c>
      <c r="W68" s="31">
        <f>IF(W67+AG68-M68&lt;=0.01,0,ROUND(W67+AG68-M68,2))</f>
        <v>0.0</v>
      </c>
      <c r="X68" s="31">
        <f>IF(X67+AH68-N68&lt;=0.01,0,ROUND(X67+AH68-N68,2))</f>
        <v>0.0</v>
      </c>
      <c r="Y68" s="31">
        <f>IF(Y67+AI68-O68&lt;=0.01,0,ROUND(Y67+AI68-O68,2))</f>
        <v>0.0</v>
      </c>
      <c r="Z68" s="31">
        <f>IF(Z67+AJ68-P68&lt;=0.01,0,ROUND(Z67+AJ68-P68,2))</f>
        <v>0.0</v>
      </c>
      <c r="AA68" s="31">
        <f>IF(AA67+AK68-Q68&lt;=0.01,0,ROUND(AA67+AK68-Q68,2))</f>
        <v>0.0</v>
      </c>
      <c r="AB68" s="31">
        <f>ROUND(R67*AB$5/1200,2)</f>
        <v>0.0</v>
      </c>
      <c r="AC68" s="31">
        <f>ROUND(S67*AC$5/1200,2)</f>
        <v>0.0</v>
      </c>
      <c r="AD68" s="31">
        <f>ROUND(T67*AD$5/1200,2)</f>
        <v>0.0</v>
      </c>
      <c r="AE68" s="31">
        <f>ROUND(U67*AE$5/1200,2)</f>
        <v>0.0</v>
      </c>
      <c r="AF68" s="31">
        <f>ROUND(V67*AF$5/1200,2)</f>
        <v>0.0</v>
      </c>
      <c r="AG68" s="31">
        <f>ROUND(W67*AG$5/1200,2)</f>
        <v>0.0</v>
      </c>
      <c r="AH68" s="31">
        <f>ROUND(X67*AH$5/1200,2)</f>
        <v>0.0</v>
      </c>
      <c r="AI68" s="31">
        <f>ROUND(Y67*AI$5/1200,2)</f>
        <v>0.0</v>
      </c>
      <c r="AJ68" s="31">
        <f>ROUND(Z67*AJ$5/1200,2)</f>
        <v>0.0</v>
      </c>
      <c r="AK68" s="31">
        <f>ROUND(AA67*AK$5/1200,2)</f>
        <v>0.0</v>
      </c>
      <c r="AL68" s="31">
        <f>MIN(AL$5,R67+AB68)</f>
        <v>0.0</v>
      </c>
      <c r="AM68" s="31">
        <f>MIN(AM$5,S67+AC68)</f>
        <v>0.0</v>
      </c>
      <c r="AN68" s="31">
        <f>MIN(AN$5,T67+AD68)</f>
        <v>0.0</v>
      </c>
      <c r="AO68" s="31">
        <f>MIN(AO$5,U67+AE68)</f>
        <v>0.0</v>
      </c>
      <c r="AP68" s="31">
        <f>MIN(AP$5,V67+AF68)</f>
        <v>0.0</v>
      </c>
      <c r="AQ68" s="31">
        <f>MIN(AQ$5,W67+AG68)</f>
        <v>0.0</v>
      </c>
      <c r="AR68" s="31">
        <f>MIN(AR$5,X67+AH68)</f>
        <v>0.0</v>
      </c>
      <c r="AS68" s="31">
        <f>MIN(AS$5,Y67+AI68)</f>
        <v>0.0</v>
      </c>
      <c r="AT68" s="31">
        <f>MIN(AT$5,Z67+AJ68)</f>
        <v>0.0</v>
      </c>
      <c r="AU68" s="31">
        <f>MIN(AU$5,AA67+AK68)</f>
        <v>0.0</v>
      </c>
    </row>
    <row r="69">
      <c r="A69" s="25" t="str">
        <f>IF(F68&gt;0.005,64,"")</f>
        <v/>
      </c>
      <c r="B69" s="33" t="str">
        <f>IF(A69="","",EDATE(Долги!$D$5,63))</f>
        <v/>
      </c>
      <c r="C69" s="31">
        <f>SUM(H69:Q69)</f>
        <v>0.0</v>
      </c>
      <c r="D69" s="31">
        <f>SUM(AB69:AK69)</f>
        <v>0.0</v>
      </c>
      <c r="E69" s="31">
        <f>C69-D69</f>
        <v>0.0</v>
      </c>
      <c r="F69" s="31">
        <f>SUM(R69:AA69)</f>
        <v>0.0</v>
      </c>
      <c r="G69" s="34" t="str">
        <f>IF(OR(A69="",$F$5&lt;=0),"",REPT("█",ROUND(20*F69/$F$5,0)))</f>
        <v/>
      </c>
      <c r="H69" s="31">
        <f>AL69+MIN(R68+AB69-AL69,MAX(0,ROUND(Долги!$D$19-SUM($AL69:$AU69),2)))</f>
        <v>0.0</v>
      </c>
      <c r="I69" s="31">
        <f>AM69+MIN(S68+AC69-AM69,MAX(0,ROUND(ROUND(Долги!$D$19-SUM($AL69:$AU69),2)-(SUM($H69:H69)-SUM($AL69:AL69)),2)))</f>
        <v>0.0</v>
      </c>
      <c r="J69" s="31">
        <f>AN69+MIN(T68+AD69-AN69,MAX(0,ROUND(ROUND(Долги!$D$19-SUM($AL69:$AU69),2)-(SUM($H69:I69)-SUM($AL69:AM69)),2)))</f>
        <v>0.0</v>
      </c>
      <c r="K69" s="31">
        <f>AO69+MIN(U68+AE69-AO69,MAX(0,ROUND(ROUND(Долги!$D$19-SUM($AL69:$AU69),2)-(SUM($H69:J69)-SUM($AL69:AN69)),2)))</f>
        <v>0.0</v>
      </c>
      <c r="L69" s="31">
        <f>AP69+MIN(V68+AF69-AP69,MAX(0,ROUND(ROUND(Долги!$D$19-SUM($AL69:$AU69),2)-(SUM($H69:K69)-SUM($AL69:AO69)),2)))</f>
        <v>0.0</v>
      </c>
      <c r="M69" s="31">
        <f>AQ69+MIN(W68+AG69-AQ69,MAX(0,ROUND(ROUND(Долги!$D$19-SUM($AL69:$AU69),2)-(SUM($H69:L69)-SUM($AL69:AP69)),2)))</f>
        <v>0.0</v>
      </c>
      <c r="N69" s="31">
        <f>AR69+MIN(X68+AH69-AR69,MAX(0,ROUND(ROUND(Долги!$D$19-SUM($AL69:$AU69),2)-(SUM($H69:M69)-SUM($AL69:AQ69)),2)))</f>
        <v>0.0</v>
      </c>
      <c r="O69" s="31">
        <f>AS69+MIN(Y68+AI69-AS69,MAX(0,ROUND(ROUND(Долги!$D$19-SUM($AL69:$AU69),2)-(SUM($H69:N69)-SUM($AL69:AR69)),2)))</f>
        <v>0.0</v>
      </c>
      <c r="P69" s="31">
        <f>AT69+MIN(Z68+AJ69-AT69,MAX(0,ROUND(ROUND(Долги!$D$19-SUM($AL69:$AU69),2)-(SUM($H69:O69)-SUM($AL69:AS69)),2)))</f>
        <v>0.0</v>
      </c>
      <c r="Q69" s="31">
        <f>AU69+MIN(AA68+AK69-AU69,MAX(0,ROUND(ROUND(Долги!$D$19-SUM($AL69:$AU69),2)-(SUM($H69:P69)-SUM($AL69:AT69)),2)))</f>
        <v>0.0</v>
      </c>
      <c r="R69" s="31">
        <f>IF(R68+AB69-H69&lt;=0.01,0,ROUND(R68+AB69-H69,2))</f>
        <v>0.0</v>
      </c>
      <c r="S69" s="31">
        <f>IF(S68+AC69-I69&lt;=0.01,0,ROUND(S68+AC69-I69,2))</f>
        <v>0.0</v>
      </c>
      <c r="T69" s="31">
        <f>IF(T68+AD69-J69&lt;=0.01,0,ROUND(T68+AD69-J69,2))</f>
        <v>0.0</v>
      </c>
      <c r="U69" s="31">
        <f>IF(U68+AE69-K69&lt;=0.01,0,ROUND(U68+AE69-K69,2))</f>
        <v>0.0</v>
      </c>
      <c r="V69" s="31">
        <f>IF(V68+AF69-L69&lt;=0.01,0,ROUND(V68+AF69-L69,2))</f>
        <v>0.0</v>
      </c>
      <c r="W69" s="31">
        <f>IF(W68+AG69-M69&lt;=0.01,0,ROUND(W68+AG69-M69,2))</f>
        <v>0.0</v>
      </c>
      <c r="X69" s="31">
        <f>IF(X68+AH69-N69&lt;=0.01,0,ROUND(X68+AH69-N69,2))</f>
        <v>0.0</v>
      </c>
      <c r="Y69" s="31">
        <f>IF(Y68+AI69-O69&lt;=0.01,0,ROUND(Y68+AI69-O69,2))</f>
        <v>0.0</v>
      </c>
      <c r="Z69" s="31">
        <f>IF(Z68+AJ69-P69&lt;=0.01,0,ROUND(Z68+AJ69-P69,2))</f>
        <v>0.0</v>
      </c>
      <c r="AA69" s="31">
        <f>IF(AA68+AK69-Q69&lt;=0.01,0,ROUND(AA68+AK69-Q69,2))</f>
        <v>0.0</v>
      </c>
      <c r="AB69" s="31">
        <f>ROUND(R68*AB$5/1200,2)</f>
        <v>0.0</v>
      </c>
      <c r="AC69" s="31">
        <f>ROUND(S68*AC$5/1200,2)</f>
        <v>0.0</v>
      </c>
      <c r="AD69" s="31">
        <f>ROUND(T68*AD$5/1200,2)</f>
        <v>0.0</v>
      </c>
      <c r="AE69" s="31">
        <f>ROUND(U68*AE$5/1200,2)</f>
        <v>0.0</v>
      </c>
      <c r="AF69" s="31">
        <f>ROUND(V68*AF$5/1200,2)</f>
        <v>0.0</v>
      </c>
      <c r="AG69" s="31">
        <f>ROUND(W68*AG$5/1200,2)</f>
        <v>0.0</v>
      </c>
      <c r="AH69" s="31">
        <f>ROUND(X68*AH$5/1200,2)</f>
        <v>0.0</v>
      </c>
      <c r="AI69" s="31">
        <f>ROUND(Y68*AI$5/1200,2)</f>
        <v>0.0</v>
      </c>
      <c r="AJ69" s="31">
        <f>ROUND(Z68*AJ$5/1200,2)</f>
        <v>0.0</v>
      </c>
      <c r="AK69" s="31">
        <f>ROUND(AA68*AK$5/1200,2)</f>
        <v>0.0</v>
      </c>
      <c r="AL69" s="31">
        <f>MIN(AL$5,R68+AB69)</f>
        <v>0.0</v>
      </c>
      <c r="AM69" s="31">
        <f>MIN(AM$5,S68+AC69)</f>
        <v>0.0</v>
      </c>
      <c r="AN69" s="31">
        <f>MIN(AN$5,T68+AD69)</f>
        <v>0.0</v>
      </c>
      <c r="AO69" s="31">
        <f>MIN(AO$5,U68+AE69)</f>
        <v>0.0</v>
      </c>
      <c r="AP69" s="31">
        <f>MIN(AP$5,V68+AF69)</f>
        <v>0.0</v>
      </c>
      <c r="AQ69" s="31">
        <f>MIN(AQ$5,W68+AG69)</f>
        <v>0.0</v>
      </c>
      <c r="AR69" s="31">
        <f>MIN(AR$5,X68+AH69)</f>
        <v>0.0</v>
      </c>
      <c r="AS69" s="31">
        <f>MIN(AS$5,Y68+AI69)</f>
        <v>0.0</v>
      </c>
      <c r="AT69" s="31">
        <f>MIN(AT$5,Z68+AJ69)</f>
        <v>0.0</v>
      </c>
      <c r="AU69" s="31">
        <f>MIN(AU$5,AA68+AK69)</f>
        <v>0.0</v>
      </c>
    </row>
    <row r="70">
      <c r="A70" s="25" t="str">
        <f>IF(F69&gt;0.005,65,"")</f>
        <v/>
      </c>
      <c r="B70" s="33" t="str">
        <f>IF(A70="","",EDATE(Долги!$D$5,64))</f>
        <v/>
      </c>
      <c r="C70" s="31">
        <f>SUM(H70:Q70)</f>
        <v>0.0</v>
      </c>
      <c r="D70" s="31">
        <f>SUM(AB70:AK70)</f>
        <v>0.0</v>
      </c>
      <c r="E70" s="31">
        <f>C70-D70</f>
        <v>0.0</v>
      </c>
      <c r="F70" s="31">
        <f>SUM(R70:AA70)</f>
        <v>0.0</v>
      </c>
      <c r="G70" s="34" t="str">
        <f>IF(OR(A70="",$F$5&lt;=0),"",REPT("█",ROUND(20*F70/$F$5,0)))</f>
        <v/>
      </c>
      <c r="H70" s="31">
        <f>AL70+MIN(R69+AB70-AL70,MAX(0,ROUND(Долги!$D$19-SUM($AL70:$AU70),2)))</f>
        <v>0.0</v>
      </c>
      <c r="I70" s="31">
        <f>AM70+MIN(S69+AC70-AM70,MAX(0,ROUND(ROUND(Долги!$D$19-SUM($AL70:$AU70),2)-(SUM($H70:H70)-SUM($AL70:AL70)),2)))</f>
        <v>0.0</v>
      </c>
      <c r="J70" s="31">
        <f>AN70+MIN(T69+AD70-AN70,MAX(0,ROUND(ROUND(Долги!$D$19-SUM($AL70:$AU70),2)-(SUM($H70:I70)-SUM($AL70:AM70)),2)))</f>
        <v>0.0</v>
      </c>
      <c r="K70" s="31">
        <f>AO70+MIN(U69+AE70-AO70,MAX(0,ROUND(ROUND(Долги!$D$19-SUM($AL70:$AU70),2)-(SUM($H70:J70)-SUM($AL70:AN70)),2)))</f>
        <v>0.0</v>
      </c>
      <c r="L70" s="31">
        <f>AP70+MIN(V69+AF70-AP70,MAX(0,ROUND(ROUND(Долги!$D$19-SUM($AL70:$AU70),2)-(SUM($H70:K70)-SUM($AL70:AO70)),2)))</f>
        <v>0.0</v>
      </c>
      <c r="M70" s="31">
        <f>AQ70+MIN(W69+AG70-AQ70,MAX(0,ROUND(ROUND(Долги!$D$19-SUM($AL70:$AU70),2)-(SUM($H70:L70)-SUM($AL70:AP70)),2)))</f>
        <v>0.0</v>
      </c>
      <c r="N70" s="31">
        <f>AR70+MIN(X69+AH70-AR70,MAX(0,ROUND(ROUND(Долги!$D$19-SUM($AL70:$AU70),2)-(SUM($H70:M70)-SUM($AL70:AQ70)),2)))</f>
        <v>0.0</v>
      </c>
      <c r="O70" s="31">
        <f>AS70+MIN(Y69+AI70-AS70,MAX(0,ROUND(ROUND(Долги!$D$19-SUM($AL70:$AU70),2)-(SUM($H70:N70)-SUM($AL70:AR70)),2)))</f>
        <v>0.0</v>
      </c>
      <c r="P70" s="31">
        <f>AT70+MIN(Z69+AJ70-AT70,MAX(0,ROUND(ROUND(Долги!$D$19-SUM($AL70:$AU70),2)-(SUM($H70:O70)-SUM($AL70:AS70)),2)))</f>
        <v>0.0</v>
      </c>
      <c r="Q70" s="31">
        <f>AU70+MIN(AA69+AK70-AU70,MAX(0,ROUND(ROUND(Долги!$D$19-SUM($AL70:$AU70),2)-(SUM($H70:P70)-SUM($AL70:AT70)),2)))</f>
        <v>0.0</v>
      </c>
      <c r="R70" s="31">
        <f>IF(R69+AB70-H70&lt;=0.01,0,ROUND(R69+AB70-H70,2))</f>
        <v>0.0</v>
      </c>
      <c r="S70" s="31">
        <f>IF(S69+AC70-I70&lt;=0.01,0,ROUND(S69+AC70-I70,2))</f>
        <v>0.0</v>
      </c>
      <c r="T70" s="31">
        <f>IF(T69+AD70-J70&lt;=0.01,0,ROUND(T69+AD70-J70,2))</f>
        <v>0.0</v>
      </c>
      <c r="U70" s="31">
        <f>IF(U69+AE70-K70&lt;=0.01,0,ROUND(U69+AE70-K70,2))</f>
        <v>0.0</v>
      </c>
      <c r="V70" s="31">
        <f>IF(V69+AF70-L70&lt;=0.01,0,ROUND(V69+AF70-L70,2))</f>
        <v>0.0</v>
      </c>
      <c r="W70" s="31">
        <f>IF(W69+AG70-M70&lt;=0.01,0,ROUND(W69+AG70-M70,2))</f>
        <v>0.0</v>
      </c>
      <c r="X70" s="31">
        <f>IF(X69+AH70-N70&lt;=0.01,0,ROUND(X69+AH70-N70,2))</f>
        <v>0.0</v>
      </c>
      <c r="Y70" s="31">
        <f>IF(Y69+AI70-O70&lt;=0.01,0,ROUND(Y69+AI70-O70,2))</f>
        <v>0.0</v>
      </c>
      <c r="Z70" s="31">
        <f>IF(Z69+AJ70-P70&lt;=0.01,0,ROUND(Z69+AJ70-P70,2))</f>
        <v>0.0</v>
      </c>
      <c r="AA70" s="31">
        <f>IF(AA69+AK70-Q70&lt;=0.01,0,ROUND(AA69+AK70-Q70,2))</f>
        <v>0.0</v>
      </c>
      <c r="AB70" s="31">
        <f>ROUND(R69*AB$5/1200,2)</f>
        <v>0.0</v>
      </c>
      <c r="AC70" s="31">
        <f>ROUND(S69*AC$5/1200,2)</f>
        <v>0.0</v>
      </c>
      <c r="AD70" s="31">
        <f>ROUND(T69*AD$5/1200,2)</f>
        <v>0.0</v>
      </c>
      <c r="AE70" s="31">
        <f>ROUND(U69*AE$5/1200,2)</f>
        <v>0.0</v>
      </c>
      <c r="AF70" s="31">
        <f>ROUND(V69*AF$5/1200,2)</f>
        <v>0.0</v>
      </c>
      <c r="AG70" s="31">
        <f>ROUND(W69*AG$5/1200,2)</f>
        <v>0.0</v>
      </c>
      <c r="AH70" s="31">
        <f>ROUND(X69*AH$5/1200,2)</f>
        <v>0.0</v>
      </c>
      <c r="AI70" s="31">
        <f>ROUND(Y69*AI$5/1200,2)</f>
        <v>0.0</v>
      </c>
      <c r="AJ70" s="31">
        <f>ROUND(Z69*AJ$5/1200,2)</f>
        <v>0.0</v>
      </c>
      <c r="AK70" s="31">
        <f>ROUND(AA69*AK$5/1200,2)</f>
        <v>0.0</v>
      </c>
      <c r="AL70" s="31">
        <f>MIN(AL$5,R69+AB70)</f>
        <v>0.0</v>
      </c>
      <c r="AM70" s="31">
        <f>MIN(AM$5,S69+AC70)</f>
        <v>0.0</v>
      </c>
      <c r="AN70" s="31">
        <f>MIN(AN$5,T69+AD70)</f>
        <v>0.0</v>
      </c>
      <c r="AO70" s="31">
        <f>MIN(AO$5,U69+AE70)</f>
        <v>0.0</v>
      </c>
      <c r="AP70" s="31">
        <f>MIN(AP$5,V69+AF70)</f>
        <v>0.0</v>
      </c>
      <c r="AQ70" s="31">
        <f>MIN(AQ$5,W69+AG70)</f>
        <v>0.0</v>
      </c>
      <c r="AR70" s="31">
        <f>MIN(AR$5,X69+AH70)</f>
        <v>0.0</v>
      </c>
      <c r="AS70" s="31">
        <f>MIN(AS$5,Y69+AI70)</f>
        <v>0.0</v>
      </c>
      <c r="AT70" s="31">
        <f>MIN(AT$5,Z69+AJ70)</f>
        <v>0.0</v>
      </c>
      <c r="AU70" s="31">
        <f>MIN(AU$5,AA69+AK70)</f>
        <v>0.0</v>
      </c>
    </row>
    <row r="71">
      <c r="A71" s="25" t="str">
        <f>IF(F70&gt;0.005,66,"")</f>
        <v/>
      </c>
      <c r="B71" s="33" t="str">
        <f>IF(A71="","",EDATE(Долги!$D$5,65))</f>
        <v/>
      </c>
      <c r="C71" s="31">
        <f>SUM(H71:Q71)</f>
        <v>0.0</v>
      </c>
      <c r="D71" s="31">
        <f>SUM(AB71:AK71)</f>
        <v>0.0</v>
      </c>
      <c r="E71" s="31">
        <f>C71-D71</f>
        <v>0.0</v>
      </c>
      <c r="F71" s="31">
        <f>SUM(R71:AA71)</f>
        <v>0.0</v>
      </c>
      <c r="G71" s="34" t="str">
        <f>IF(OR(A71="",$F$5&lt;=0),"",REPT("█",ROUND(20*F71/$F$5,0)))</f>
        <v/>
      </c>
      <c r="H71" s="31">
        <f>AL71+MIN(R70+AB71-AL71,MAX(0,ROUND(Долги!$D$19-SUM($AL71:$AU71),2)))</f>
        <v>0.0</v>
      </c>
      <c r="I71" s="31">
        <f>AM71+MIN(S70+AC71-AM71,MAX(0,ROUND(ROUND(Долги!$D$19-SUM($AL71:$AU71),2)-(SUM($H71:H71)-SUM($AL71:AL71)),2)))</f>
        <v>0.0</v>
      </c>
      <c r="J71" s="31">
        <f>AN71+MIN(T70+AD71-AN71,MAX(0,ROUND(ROUND(Долги!$D$19-SUM($AL71:$AU71),2)-(SUM($H71:I71)-SUM($AL71:AM71)),2)))</f>
        <v>0.0</v>
      </c>
      <c r="K71" s="31">
        <f>AO71+MIN(U70+AE71-AO71,MAX(0,ROUND(ROUND(Долги!$D$19-SUM($AL71:$AU71),2)-(SUM($H71:J71)-SUM($AL71:AN71)),2)))</f>
        <v>0.0</v>
      </c>
      <c r="L71" s="31">
        <f>AP71+MIN(V70+AF71-AP71,MAX(0,ROUND(ROUND(Долги!$D$19-SUM($AL71:$AU71),2)-(SUM($H71:K71)-SUM($AL71:AO71)),2)))</f>
        <v>0.0</v>
      </c>
      <c r="M71" s="31">
        <f>AQ71+MIN(W70+AG71-AQ71,MAX(0,ROUND(ROUND(Долги!$D$19-SUM($AL71:$AU71),2)-(SUM($H71:L71)-SUM($AL71:AP71)),2)))</f>
        <v>0.0</v>
      </c>
      <c r="N71" s="31">
        <f>AR71+MIN(X70+AH71-AR71,MAX(0,ROUND(ROUND(Долги!$D$19-SUM($AL71:$AU71),2)-(SUM($H71:M71)-SUM($AL71:AQ71)),2)))</f>
        <v>0.0</v>
      </c>
      <c r="O71" s="31">
        <f>AS71+MIN(Y70+AI71-AS71,MAX(0,ROUND(ROUND(Долги!$D$19-SUM($AL71:$AU71),2)-(SUM($H71:N71)-SUM($AL71:AR71)),2)))</f>
        <v>0.0</v>
      </c>
      <c r="P71" s="31">
        <f>AT71+MIN(Z70+AJ71-AT71,MAX(0,ROUND(ROUND(Долги!$D$19-SUM($AL71:$AU71),2)-(SUM($H71:O71)-SUM($AL71:AS71)),2)))</f>
        <v>0.0</v>
      </c>
      <c r="Q71" s="31">
        <f>AU71+MIN(AA70+AK71-AU71,MAX(0,ROUND(ROUND(Долги!$D$19-SUM($AL71:$AU71),2)-(SUM($H71:P71)-SUM($AL71:AT71)),2)))</f>
        <v>0.0</v>
      </c>
      <c r="R71" s="31">
        <f>IF(R70+AB71-H71&lt;=0.01,0,ROUND(R70+AB71-H71,2))</f>
        <v>0.0</v>
      </c>
      <c r="S71" s="31">
        <f>IF(S70+AC71-I71&lt;=0.01,0,ROUND(S70+AC71-I71,2))</f>
        <v>0.0</v>
      </c>
      <c r="T71" s="31">
        <f>IF(T70+AD71-J71&lt;=0.01,0,ROUND(T70+AD71-J71,2))</f>
        <v>0.0</v>
      </c>
      <c r="U71" s="31">
        <f>IF(U70+AE71-K71&lt;=0.01,0,ROUND(U70+AE71-K71,2))</f>
        <v>0.0</v>
      </c>
      <c r="V71" s="31">
        <f>IF(V70+AF71-L71&lt;=0.01,0,ROUND(V70+AF71-L71,2))</f>
        <v>0.0</v>
      </c>
      <c r="W71" s="31">
        <f>IF(W70+AG71-M71&lt;=0.01,0,ROUND(W70+AG71-M71,2))</f>
        <v>0.0</v>
      </c>
      <c r="X71" s="31">
        <f>IF(X70+AH71-N71&lt;=0.01,0,ROUND(X70+AH71-N71,2))</f>
        <v>0.0</v>
      </c>
      <c r="Y71" s="31">
        <f>IF(Y70+AI71-O71&lt;=0.01,0,ROUND(Y70+AI71-O71,2))</f>
        <v>0.0</v>
      </c>
      <c r="Z71" s="31">
        <f>IF(Z70+AJ71-P71&lt;=0.01,0,ROUND(Z70+AJ71-P71,2))</f>
        <v>0.0</v>
      </c>
      <c r="AA71" s="31">
        <f>IF(AA70+AK71-Q71&lt;=0.01,0,ROUND(AA70+AK71-Q71,2))</f>
        <v>0.0</v>
      </c>
      <c r="AB71" s="31">
        <f>ROUND(R70*AB$5/1200,2)</f>
        <v>0.0</v>
      </c>
      <c r="AC71" s="31">
        <f>ROUND(S70*AC$5/1200,2)</f>
        <v>0.0</v>
      </c>
      <c r="AD71" s="31">
        <f>ROUND(T70*AD$5/1200,2)</f>
        <v>0.0</v>
      </c>
      <c r="AE71" s="31">
        <f>ROUND(U70*AE$5/1200,2)</f>
        <v>0.0</v>
      </c>
      <c r="AF71" s="31">
        <f>ROUND(V70*AF$5/1200,2)</f>
        <v>0.0</v>
      </c>
      <c r="AG71" s="31">
        <f>ROUND(W70*AG$5/1200,2)</f>
        <v>0.0</v>
      </c>
      <c r="AH71" s="31">
        <f>ROUND(X70*AH$5/1200,2)</f>
        <v>0.0</v>
      </c>
      <c r="AI71" s="31">
        <f>ROUND(Y70*AI$5/1200,2)</f>
        <v>0.0</v>
      </c>
      <c r="AJ71" s="31">
        <f>ROUND(Z70*AJ$5/1200,2)</f>
        <v>0.0</v>
      </c>
      <c r="AK71" s="31">
        <f>ROUND(AA70*AK$5/1200,2)</f>
        <v>0.0</v>
      </c>
      <c r="AL71" s="31">
        <f>MIN(AL$5,R70+AB71)</f>
        <v>0.0</v>
      </c>
      <c r="AM71" s="31">
        <f>MIN(AM$5,S70+AC71)</f>
        <v>0.0</v>
      </c>
      <c r="AN71" s="31">
        <f>MIN(AN$5,T70+AD71)</f>
        <v>0.0</v>
      </c>
      <c r="AO71" s="31">
        <f>MIN(AO$5,U70+AE71)</f>
        <v>0.0</v>
      </c>
      <c r="AP71" s="31">
        <f>MIN(AP$5,V70+AF71)</f>
        <v>0.0</v>
      </c>
      <c r="AQ71" s="31">
        <f>MIN(AQ$5,W70+AG71)</f>
        <v>0.0</v>
      </c>
      <c r="AR71" s="31">
        <f>MIN(AR$5,X70+AH71)</f>
        <v>0.0</v>
      </c>
      <c r="AS71" s="31">
        <f>MIN(AS$5,Y70+AI71)</f>
        <v>0.0</v>
      </c>
      <c r="AT71" s="31">
        <f>MIN(AT$5,Z70+AJ71)</f>
        <v>0.0</v>
      </c>
      <c r="AU71" s="31">
        <f>MIN(AU$5,AA70+AK71)</f>
        <v>0.0</v>
      </c>
    </row>
    <row r="72">
      <c r="A72" s="25" t="str">
        <f>IF(F71&gt;0.005,67,"")</f>
        <v/>
      </c>
      <c r="B72" s="33" t="str">
        <f>IF(A72="","",EDATE(Долги!$D$5,66))</f>
        <v/>
      </c>
      <c r="C72" s="31">
        <f>SUM(H72:Q72)</f>
        <v>0.0</v>
      </c>
      <c r="D72" s="31">
        <f>SUM(AB72:AK72)</f>
        <v>0.0</v>
      </c>
      <c r="E72" s="31">
        <f>C72-D72</f>
        <v>0.0</v>
      </c>
      <c r="F72" s="31">
        <f>SUM(R72:AA72)</f>
        <v>0.0</v>
      </c>
      <c r="G72" s="34" t="str">
        <f>IF(OR(A72="",$F$5&lt;=0),"",REPT("█",ROUND(20*F72/$F$5,0)))</f>
        <v/>
      </c>
      <c r="H72" s="31">
        <f>AL72+MIN(R71+AB72-AL72,MAX(0,ROUND(Долги!$D$19-SUM($AL72:$AU72),2)))</f>
        <v>0.0</v>
      </c>
      <c r="I72" s="31">
        <f>AM72+MIN(S71+AC72-AM72,MAX(0,ROUND(ROUND(Долги!$D$19-SUM($AL72:$AU72),2)-(SUM($H72:H72)-SUM($AL72:AL72)),2)))</f>
        <v>0.0</v>
      </c>
      <c r="J72" s="31">
        <f>AN72+MIN(T71+AD72-AN72,MAX(0,ROUND(ROUND(Долги!$D$19-SUM($AL72:$AU72),2)-(SUM($H72:I72)-SUM($AL72:AM72)),2)))</f>
        <v>0.0</v>
      </c>
      <c r="K72" s="31">
        <f>AO72+MIN(U71+AE72-AO72,MAX(0,ROUND(ROUND(Долги!$D$19-SUM($AL72:$AU72),2)-(SUM($H72:J72)-SUM($AL72:AN72)),2)))</f>
        <v>0.0</v>
      </c>
      <c r="L72" s="31">
        <f>AP72+MIN(V71+AF72-AP72,MAX(0,ROUND(ROUND(Долги!$D$19-SUM($AL72:$AU72),2)-(SUM($H72:K72)-SUM($AL72:AO72)),2)))</f>
        <v>0.0</v>
      </c>
      <c r="M72" s="31">
        <f>AQ72+MIN(W71+AG72-AQ72,MAX(0,ROUND(ROUND(Долги!$D$19-SUM($AL72:$AU72),2)-(SUM($H72:L72)-SUM($AL72:AP72)),2)))</f>
        <v>0.0</v>
      </c>
      <c r="N72" s="31">
        <f>AR72+MIN(X71+AH72-AR72,MAX(0,ROUND(ROUND(Долги!$D$19-SUM($AL72:$AU72),2)-(SUM($H72:M72)-SUM($AL72:AQ72)),2)))</f>
        <v>0.0</v>
      </c>
      <c r="O72" s="31">
        <f>AS72+MIN(Y71+AI72-AS72,MAX(0,ROUND(ROUND(Долги!$D$19-SUM($AL72:$AU72),2)-(SUM($H72:N72)-SUM($AL72:AR72)),2)))</f>
        <v>0.0</v>
      </c>
      <c r="P72" s="31">
        <f>AT72+MIN(Z71+AJ72-AT72,MAX(0,ROUND(ROUND(Долги!$D$19-SUM($AL72:$AU72),2)-(SUM($H72:O72)-SUM($AL72:AS72)),2)))</f>
        <v>0.0</v>
      </c>
      <c r="Q72" s="31">
        <f>AU72+MIN(AA71+AK72-AU72,MAX(0,ROUND(ROUND(Долги!$D$19-SUM($AL72:$AU72),2)-(SUM($H72:P72)-SUM($AL72:AT72)),2)))</f>
        <v>0.0</v>
      </c>
      <c r="R72" s="31">
        <f>IF(R71+AB72-H72&lt;=0.01,0,ROUND(R71+AB72-H72,2))</f>
        <v>0.0</v>
      </c>
      <c r="S72" s="31">
        <f>IF(S71+AC72-I72&lt;=0.01,0,ROUND(S71+AC72-I72,2))</f>
        <v>0.0</v>
      </c>
      <c r="T72" s="31">
        <f>IF(T71+AD72-J72&lt;=0.01,0,ROUND(T71+AD72-J72,2))</f>
        <v>0.0</v>
      </c>
      <c r="U72" s="31">
        <f>IF(U71+AE72-K72&lt;=0.01,0,ROUND(U71+AE72-K72,2))</f>
        <v>0.0</v>
      </c>
      <c r="V72" s="31">
        <f>IF(V71+AF72-L72&lt;=0.01,0,ROUND(V71+AF72-L72,2))</f>
        <v>0.0</v>
      </c>
      <c r="W72" s="31">
        <f>IF(W71+AG72-M72&lt;=0.01,0,ROUND(W71+AG72-M72,2))</f>
        <v>0.0</v>
      </c>
      <c r="X72" s="31">
        <f>IF(X71+AH72-N72&lt;=0.01,0,ROUND(X71+AH72-N72,2))</f>
        <v>0.0</v>
      </c>
      <c r="Y72" s="31">
        <f>IF(Y71+AI72-O72&lt;=0.01,0,ROUND(Y71+AI72-O72,2))</f>
        <v>0.0</v>
      </c>
      <c r="Z72" s="31">
        <f>IF(Z71+AJ72-P72&lt;=0.01,0,ROUND(Z71+AJ72-P72,2))</f>
        <v>0.0</v>
      </c>
      <c r="AA72" s="31">
        <f>IF(AA71+AK72-Q72&lt;=0.01,0,ROUND(AA71+AK72-Q72,2))</f>
        <v>0.0</v>
      </c>
      <c r="AB72" s="31">
        <f>ROUND(R71*AB$5/1200,2)</f>
        <v>0.0</v>
      </c>
      <c r="AC72" s="31">
        <f>ROUND(S71*AC$5/1200,2)</f>
        <v>0.0</v>
      </c>
      <c r="AD72" s="31">
        <f>ROUND(T71*AD$5/1200,2)</f>
        <v>0.0</v>
      </c>
      <c r="AE72" s="31">
        <f>ROUND(U71*AE$5/1200,2)</f>
        <v>0.0</v>
      </c>
      <c r="AF72" s="31">
        <f>ROUND(V71*AF$5/1200,2)</f>
        <v>0.0</v>
      </c>
      <c r="AG72" s="31">
        <f>ROUND(W71*AG$5/1200,2)</f>
        <v>0.0</v>
      </c>
      <c r="AH72" s="31">
        <f>ROUND(X71*AH$5/1200,2)</f>
        <v>0.0</v>
      </c>
      <c r="AI72" s="31">
        <f>ROUND(Y71*AI$5/1200,2)</f>
        <v>0.0</v>
      </c>
      <c r="AJ72" s="31">
        <f>ROUND(Z71*AJ$5/1200,2)</f>
        <v>0.0</v>
      </c>
      <c r="AK72" s="31">
        <f>ROUND(AA71*AK$5/1200,2)</f>
        <v>0.0</v>
      </c>
      <c r="AL72" s="31">
        <f>MIN(AL$5,R71+AB72)</f>
        <v>0.0</v>
      </c>
      <c r="AM72" s="31">
        <f>MIN(AM$5,S71+AC72)</f>
        <v>0.0</v>
      </c>
      <c r="AN72" s="31">
        <f>MIN(AN$5,T71+AD72)</f>
        <v>0.0</v>
      </c>
      <c r="AO72" s="31">
        <f>MIN(AO$5,U71+AE72)</f>
        <v>0.0</v>
      </c>
      <c r="AP72" s="31">
        <f>MIN(AP$5,V71+AF72)</f>
        <v>0.0</v>
      </c>
      <c r="AQ72" s="31">
        <f>MIN(AQ$5,W71+AG72)</f>
        <v>0.0</v>
      </c>
      <c r="AR72" s="31">
        <f>MIN(AR$5,X71+AH72)</f>
        <v>0.0</v>
      </c>
      <c r="AS72" s="31">
        <f>MIN(AS$5,Y71+AI72)</f>
        <v>0.0</v>
      </c>
      <c r="AT72" s="31">
        <f>MIN(AT$5,Z71+AJ72)</f>
        <v>0.0</v>
      </c>
      <c r="AU72" s="31">
        <f>MIN(AU$5,AA71+AK72)</f>
        <v>0.0</v>
      </c>
    </row>
    <row r="73">
      <c r="A73" s="25" t="str">
        <f>IF(F72&gt;0.005,68,"")</f>
        <v/>
      </c>
      <c r="B73" s="33" t="str">
        <f>IF(A73="","",EDATE(Долги!$D$5,67))</f>
        <v/>
      </c>
      <c r="C73" s="31">
        <f>SUM(H73:Q73)</f>
        <v>0.0</v>
      </c>
      <c r="D73" s="31">
        <f>SUM(AB73:AK73)</f>
        <v>0.0</v>
      </c>
      <c r="E73" s="31">
        <f>C73-D73</f>
        <v>0.0</v>
      </c>
      <c r="F73" s="31">
        <f>SUM(R73:AA73)</f>
        <v>0.0</v>
      </c>
      <c r="G73" s="34" t="str">
        <f>IF(OR(A73="",$F$5&lt;=0),"",REPT("█",ROUND(20*F73/$F$5,0)))</f>
        <v/>
      </c>
      <c r="H73" s="31">
        <f>AL73+MIN(R72+AB73-AL73,MAX(0,ROUND(Долги!$D$19-SUM($AL73:$AU73),2)))</f>
        <v>0.0</v>
      </c>
      <c r="I73" s="31">
        <f>AM73+MIN(S72+AC73-AM73,MAX(0,ROUND(ROUND(Долги!$D$19-SUM($AL73:$AU73),2)-(SUM($H73:H73)-SUM($AL73:AL73)),2)))</f>
        <v>0.0</v>
      </c>
      <c r="J73" s="31">
        <f>AN73+MIN(T72+AD73-AN73,MAX(0,ROUND(ROUND(Долги!$D$19-SUM($AL73:$AU73),2)-(SUM($H73:I73)-SUM($AL73:AM73)),2)))</f>
        <v>0.0</v>
      </c>
      <c r="K73" s="31">
        <f>AO73+MIN(U72+AE73-AO73,MAX(0,ROUND(ROUND(Долги!$D$19-SUM($AL73:$AU73),2)-(SUM($H73:J73)-SUM($AL73:AN73)),2)))</f>
        <v>0.0</v>
      </c>
      <c r="L73" s="31">
        <f>AP73+MIN(V72+AF73-AP73,MAX(0,ROUND(ROUND(Долги!$D$19-SUM($AL73:$AU73),2)-(SUM($H73:K73)-SUM($AL73:AO73)),2)))</f>
        <v>0.0</v>
      </c>
      <c r="M73" s="31">
        <f>AQ73+MIN(W72+AG73-AQ73,MAX(0,ROUND(ROUND(Долги!$D$19-SUM($AL73:$AU73),2)-(SUM($H73:L73)-SUM($AL73:AP73)),2)))</f>
        <v>0.0</v>
      </c>
      <c r="N73" s="31">
        <f>AR73+MIN(X72+AH73-AR73,MAX(0,ROUND(ROUND(Долги!$D$19-SUM($AL73:$AU73),2)-(SUM($H73:M73)-SUM($AL73:AQ73)),2)))</f>
        <v>0.0</v>
      </c>
      <c r="O73" s="31">
        <f>AS73+MIN(Y72+AI73-AS73,MAX(0,ROUND(ROUND(Долги!$D$19-SUM($AL73:$AU73),2)-(SUM($H73:N73)-SUM($AL73:AR73)),2)))</f>
        <v>0.0</v>
      </c>
      <c r="P73" s="31">
        <f>AT73+MIN(Z72+AJ73-AT73,MAX(0,ROUND(ROUND(Долги!$D$19-SUM($AL73:$AU73),2)-(SUM($H73:O73)-SUM($AL73:AS73)),2)))</f>
        <v>0.0</v>
      </c>
      <c r="Q73" s="31">
        <f>AU73+MIN(AA72+AK73-AU73,MAX(0,ROUND(ROUND(Долги!$D$19-SUM($AL73:$AU73),2)-(SUM($H73:P73)-SUM($AL73:AT73)),2)))</f>
        <v>0.0</v>
      </c>
      <c r="R73" s="31">
        <f>IF(R72+AB73-H73&lt;=0.01,0,ROUND(R72+AB73-H73,2))</f>
        <v>0.0</v>
      </c>
      <c r="S73" s="31">
        <f>IF(S72+AC73-I73&lt;=0.01,0,ROUND(S72+AC73-I73,2))</f>
        <v>0.0</v>
      </c>
      <c r="T73" s="31">
        <f>IF(T72+AD73-J73&lt;=0.01,0,ROUND(T72+AD73-J73,2))</f>
        <v>0.0</v>
      </c>
      <c r="U73" s="31">
        <f>IF(U72+AE73-K73&lt;=0.01,0,ROUND(U72+AE73-K73,2))</f>
        <v>0.0</v>
      </c>
      <c r="V73" s="31">
        <f>IF(V72+AF73-L73&lt;=0.01,0,ROUND(V72+AF73-L73,2))</f>
        <v>0.0</v>
      </c>
      <c r="W73" s="31">
        <f>IF(W72+AG73-M73&lt;=0.01,0,ROUND(W72+AG73-M73,2))</f>
        <v>0.0</v>
      </c>
      <c r="X73" s="31">
        <f>IF(X72+AH73-N73&lt;=0.01,0,ROUND(X72+AH73-N73,2))</f>
        <v>0.0</v>
      </c>
      <c r="Y73" s="31">
        <f>IF(Y72+AI73-O73&lt;=0.01,0,ROUND(Y72+AI73-O73,2))</f>
        <v>0.0</v>
      </c>
      <c r="Z73" s="31">
        <f>IF(Z72+AJ73-P73&lt;=0.01,0,ROUND(Z72+AJ73-P73,2))</f>
        <v>0.0</v>
      </c>
      <c r="AA73" s="31">
        <f>IF(AA72+AK73-Q73&lt;=0.01,0,ROUND(AA72+AK73-Q73,2))</f>
        <v>0.0</v>
      </c>
      <c r="AB73" s="31">
        <f>ROUND(R72*AB$5/1200,2)</f>
        <v>0.0</v>
      </c>
      <c r="AC73" s="31">
        <f>ROUND(S72*AC$5/1200,2)</f>
        <v>0.0</v>
      </c>
      <c r="AD73" s="31">
        <f>ROUND(T72*AD$5/1200,2)</f>
        <v>0.0</v>
      </c>
      <c r="AE73" s="31">
        <f>ROUND(U72*AE$5/1200,2)</f>
        <v>0.0</v>
      </c>
      <c r="AF73" s="31">
        <f>ROUND(V72*AF$5/1200,2)</f>
        <v>0.0</v>
      </c>
      <c r="AG73" s="31">
        <f>ROUND(W72*AG$5/1200,2)</f>
        <v>0.0</v>
      </c>
      <c r="AH73" s="31">
        <f>ROUND(X72*AH$5/1200,2)</f>
        <v>0.0</v>
      </c>
      <c r="AI73" s="31">
        <f>ROUND(Y72*AI$5/1200,2)</f>
        <v>0.0</v>
      </c>
      <c r="AJ73" s="31">
        <f>ROUND(Z72*AJ$5/1200,2)</f>
        <v>0.0</v>
      </c>
      <c r="AK73" s="31">
        <f>ROUND(AA72*AK$5/1200,2)</f>
        <v>0.0</v>
      </c>
      <c r="AL73" s="31">
        <f>MIN(AL$5,R72+AB73)</f>
        <v>0.0</v>
      </c>
      <c r="AM73" s="31">
        <f>MIN(AM$5,S72+AC73)</f>
        <v>0.0</v>
      </c>
      <c r="AN73" s="31">
        <f>MIN(AN$5,T72+AD73)</f>
        <v>0.0</v>
      </c>
      <c r="AO73" s="31">
        <f>MIN(AO$5,U72+AE73)</f>
        <v>0.0</v>
      </c>
      <c r="AP73" s="31">
        <f>MIN(AP$5,V72+AF73)</f>
        <v>0.0</v>
      </c>
      <c r="AQ73" s="31">
        <f>MIN(AQ$5,W72+AG73)</f>
        <v>0.0</v>
      </c>
      <c r="AR73" s="31">
        <f>MIN(AR$5,X72+AH73)</f>
        <v>0.0</v>
      </c>
      <c r="AS73" s="31">
        <f>MIN(AS$5,Y72+AI73)</f>
        <v>0.0</v>
      </c>
      <c r="AT73" s="31">
        <f>MIN(AT$5,Z72+AJ73)</f>
        <v>0.0</v>
      </c>
      <c r="AU73" s="31">
        <f>MIN(AU$5,AA72+AK73)</f>
        <v>0.0</v>
      </c>
    </row>
    <row r="74">
      <c r="A74" s="25" t="str">
        <f>IF(F73&gt;0.005,69,"")</f>
        <v/>
      </c>
      <c r="B74" s="33" t="str">
        <f>IF(A74="","",EDATE(Долги!$D$5,68))</f>
        <v/>
      </c>
      <c r="C74" s="31">
        <f>SUM(H74:Q74)</f>
        <v>0.0</v>
      </c>
      <c r="D74" s="31">
        <f>SUM(AB74:AK74)</f>
        <v>0.0</v>
      </c>
      <c r="E74" s="31">
        <f>C74-D74</f>
        <v>0.0</v>
      </c>
      <c r="F74" s="31">
        <f>SUM(R74:AA74)</f>
        <v>0.0</v>
      </c>
      <c r="G74" s="34" t="str">
        <f>IF(OR(A74="",$F$5&lt;=0),"",REPT("█",ROUND(20*F74/$F$5,0)))</f>
        <v/>
      </c>
      <c r="H74" s="31">
        <f>AL74+MIN(R73+AB74-AL74,MAX(0,ROUND(Долги!$D$19-SUM($AL74:$AU74),2)))</f>
        <v>0.0</v>
      </c>
      <c r="I74" s="31">
        <f>AM74+MIN(S73+AC74-AM74,MAX(0,ROUND(ROUND(Долги!$D$19-SUM($AL74:$AU74),2)-(SUM($H74:H74)-SUM($AL74:AL74)),2)))</f>
        <v>0.0</v>
      </c>
      <c r="J74" s="31">
        <f>AN74+MIN(T73+AD74-AN74,MAX(0,ROUND(ROUND(Долги!$D$19-SUM($AL74:$AU74),2)-(SUM($H74:I74)-SUM($AL74:AM74)),2)))</f>
        <v>0.0</v>
      </c>
      <c r="K74" s="31">
        <f>AO74+MIN(U73+AE74-AO74,MAX(0,ROUND(ROUND(Долги!$D$19-SUM($AL74:$AU74),2)-(SUM($H74:J74)-SUM($AL74:AN74)),2)))</f>
        <v>0.0</v>
      </c>
      <c r="L74" s="31">
        <f>AP74+MIN(V73+AF74-AP74,MAX(0,ROUND(ROUND(Долги!$D$19-SUM($AL74:$AU74),2)-(SUM($H74:K74)-SUM($AL74:AO74)),2)))</f>
        <v>0.0</v>
      </c>
      <c r="M74" s="31">
        <f>AQ74+MIN(W73+AG74-AQ74,MAX(0,ROUND(ROUND(Долги!$D$19-SUM($AL74:$AU74),2)-(SUM($H74:L74)-SUM($AL74:AP74)),2)))</f>
        <v>0.0</v>
      </c>
      <c r="N74" s="31">
        <f>AR74+MIN(X73+AH74-AR74,MAX(0,ROUND(ROUND(Долги!$D$19-SUM($AL74:$AU74),2)-(SUM($H74:M74)-SUM($AL74:AQ74)),2)))</f>
        <v>0.0</v>
      </c>
      <c r="O74" s="31">
        <f>AS74+MIN(Y73+AI74-AS74,MAX(0,ROUND(ROUND(Долги!$D$19-SUM($AL74:$AU74),2)-(SUM($H74:N74)-SUM($AL74:AR74)),2)))</f>
        <v>0.0</v>
      </c>
      <c r="P74" s="31">
        <f>AT74+MIN(Z73+AJ74-AT74,MAX(0,ROUND(ROUND(Долги!$D$19-SUM($AL74:$AU74),2)-(SUM($H74:O74)-SUM($AL74:AS74)),2)))</f>
        <v>0.0</v>
      </c>
      <c r="Q74" s="31">
        <f>AU74+MIN(AA73+AK74-AU74,MAX(0,ROUND(ROUND(Долги!$D$19-SUM($AL74:$AU74),2)-(SUM($H74:P74)-SUM($AL74:AT74)),2)))</f>
        <v>0.0</v>
      </c>
      <c r="R74" s="31">
        <f>IF(R73+AB74-H74&lt;=0.01,0,ROUND(R73+AB74-H74,2))</f>
        <v>0.0</v>
      </c>
      <c r="S74" s="31">
        <f>IF(S73+AC74-I74&lt;=0.01,0,ROUND(S73+AC74-I74,2))</f>
        <v>0.0</v>
      </c>
      <c r="T74" s="31">
        <f>IF(T73+AD74-J74&lt;=0.01,0,ROUND(T73+AD74-J74,2))</f>
        <v>0.0</v>
      </c>
      <c r="U74" s="31">
        <f>IF(U73+AE74-K74&lt;=0.01,0,ROUND(U73+AE74-K74,2))</f>
        <v>0.0</v>
      </c>
      <c r="V74" s="31">
        <f>IF(V73+AF74-L74&lt;=0.01,0,ROUND(V73+AF74-L74,2))</f>
        <v>0.0</v>
      </c>
      <c r="W74" s="31">
        <f>IF(W73+AG74-M74&lt;=0.01,0,ROUND(W73+AG74-M74,2))</f>
        <v>0.0</v>
      </c>
      <c r="X74" s="31">
        <f>IF(X73+AH74-N74&lt;=0.01,0,ROUND(X73+AH74-N74,2))</f>
        <v>0.0</v>
      </c>
      <c r="Y74" s="31">
        <f>IF(Y73+AI74-O74&lt;=0.01,0,ROUND(Y73+AI74-O74,2))</f>
        <v>0.0</v>
      </c>
      <c r="Z74" s="31">
        <f>IF(Z73+AJ74-P74&lt;=0.01,0,ROUND(Z73+AJ74-P74,2))</f>
        <v>0.0</v>
      </c>
      <c r="AA74" s="31">
        <f>IF(AA73+AK74-Q74&lt;=0.01,0,ROUND(AA73+AK74-Q74,2))</f>
        <v>0.0</v>
      </c>
      <c r="AB74" s="31">
        <f>ROUND(R73*AB$5/1200,2)</f>
        <v>0.0</v>
      </c>
      <c r="AC74" s="31">
        <f>ROUND(S73*AC$5/1200,2)</f>
        <v>0.0</v>
      </c>
      <c r="AD74" s="31">
        <f>ROUND(T73*AD$5/1200,2)</f>
        <v>0.0</v>
      </c>
      <c r="AE74" s="31">
        <f>ROUND(U73*AE$5/1200,2)</f>
        <v>0.0</v>
      </c>
      <c r="AF74" s="31">
        <f>ROUND(V73*AF$5/1200,2)</f>
        <v>0.0</v>
      </c>
      <c r="AG74" s="31">
        <f>ROUND(W73*AG$5/1200,2)</f>
        <v>0.0</v>
      </c>
      <c r="AH74" s="31">
        <f>ROUND(X73*AH$5/1200,2)</f>
        <v>0.0</v>
      </c>
      <c r="AI74" s="31">
        <f>ROUND(Y73*AI$5/1200,2)</f>
        <v>0.0</v>
      </c>
      <c r="AJ74" s="31">
        <f>ROUND(Z73*AJ$5/1200,2)</f>
        <v>0.0</v>
      </c>
      <c r="AK74" s="31">
        <f>ROUND(AA73*AK$5/1200,2)</f>
        <v>0.0</v>
      </c>
      <c r="AL74" s="31">
        <f>MIN(AL$5,R73+AB74)</f>
        <v>0.0</v>
      </c>
      <c r="AM74" s="31">
        <f>MIN(AM$5,S73+AC74)</f>
        <v>0.0</v>
      </c>
      <c r="AN74" s="31">
        <f>MIN(AN$5,T73+AD74)</f>
        <v>0.0</v>
      </c>
      <c r="AO74" s="31">
        <f>MIN(AO$5,U73+AE74)</f>
        <v>0.0</v>
      </c>
      <c r="AP74" s="31">
        <f>MIN(AP$5,V73+AF74)</f>
        <v>0.0</v>
      </c>
      <c r="AQ74" s="31">
        <f>MIN(AQ$5,W73+AG74)</f>
        <v>0.0</v>
      </c>
      <c r="AR74" s="31">
        <f>MIN(AR$5,X73+AH74)</f>
        <v>0.0</v>
      </c>
      <c r="AS74" s="31">
        <f>MIN(AS$5,Y73+AI74)</f>
        <v>0.0</v>
      </c>
      <c r="AT74" s="31">
        <f>MIN(AT$5,Z73+AJ74)</f>
        <v>0.0</v>
      </c>
      <c r="AU74" s="31">
        <f>MIN(AU$5,AA73+AK74)</f>
        <v>0.0</v>
      </c>
    </row>
    <row r="75">
      <c r="A75" s="25" t="str">
        <f>IF(F74&gt;0.005,70,"")</f>
        <v/>
      </c>
      <c r="B75" s="33" t="str">
        <f>IF(A75="","",EDATE(Долги!$D$5,69))</f>
        <v/>
      </c>
      <c r="C75" s="31">
        <f>SUM(H75:Q75)</f>
        <v>0.0</v>
      </c>
      <c r="D75" s="31">
        <f>SUM(AB75:AK75)</f>
        <v>0.0</v>
      </c>
      <c r="E75" s="31">
        <f>C75-D75</f>
        <v>0.0</v>
      </c>
      <c r="F75" s="31">
        <f>SUM(R75:AA75)</f>
        <v>0.0</v>
      </c>
      <c r="G75" s="34" t="str">
        <f>IF(OR(A75="",$F$5&lt;=0),"",REPT("█",ROUND(20*F75/$F$5,0)))</f>
        <v/>
      </c>
      <c r="H75" s="31">
        <f>AL75+MIN(R74+AB75-AL75,MAX(0,ROUND(Долги!$D$19-SUM($AL75:$AU75),2)))</f>
        <v>0.0</v>
      </c>
      <c r="I75" s="31">
        <f>AM75+MIN(S74+AC75-AM75,MAX(0,ROUND(ROUND(Долги!$D$19-SUM($AL75:$AU75),2)-(SUM($H75:H75)-SUM($AL75:AL75)),2)))</f>
        <v>0.0</v>
      </c>
      <c r="J75" s="31">
        <f>AN75+MIN(T74+AD75-AN75,MAX(0,ROUND(ROUND(Долги!$D$19-SUM($AL75:$AU75),2)-(SUM($H75:I75)-SUM($AL75:AM75)),2)))</f>
        <v>0.0</v>
      </c>
      <c r="K75" s="31">
        <f>AO75+MIN(U74+AE75-AO75,MAX(0,ROUND(ROUND(Долги!$D$19-SUM($AL75:$AU75),2)-(SUM($H75:J75)-SUM($AL75:AN75)),2)))</f>
        <v>0.0</v>
      </c>
      <c r="L75" s="31">
        <f>AP75+MIN(V74+AF75-AP75,MAX(0,ROUND(ROUND(Долги!$D$19-SUM($AL75:$AU75),2)-(SUM($H75:K75)-SUM($AL75:AO75)),2)))</f>
        <v>0.0</v>
      </c>
      <c r="M75" s="31">
        <f>AQ75+MIN(W74+AG75-AQ75,MAX(0,ROUND(ROUND(Долги!$D$19-SUM($AL75:$AU75),2)-(SUM($H75:L75)-SUM($AL75:AP75)),2)))</f>
        <v>0.0</v>
      </c>
      <c r="N75" s="31">
        <f>AR75+MIN(X74+AH75-AR75,MAX(0,ROUND(ROUND(Долги!$D$19-SUM($AL75:$AU75),2)-(SUM($H75:M75)-SUM($AL75:AQ75)),2)))</f>
        <v>0.0</v>
      </c>
      <c r="O75" s="31">
        <f>AS75+MIN(Y74+AI75-AS75,MAX(0,ROUND(ROUND(Долги!$D$19-SUM($AL75:$AU75),2)-(SUM($H75:N75)-SUM($AL75:AR75)),2)))</f>
        <v>0.0</v>
      </c>
      <c r="P75" s="31">
        <f>AT75+MIN(Z74+AJ75-AT75,MAX(0,ROUND(ROUND(Долги!$D$19-SUM($AL75:$AU75),2)-(SUM($H75:O75)-SUM($AL75:AS75)),2)))</f>
        <v>0.0</v>
      </c>
      <c r="Q75" s="31">
        <f>AU75+MIN(AA74+AK75-AU75,MAX(0,ROUND(ROUND(Долги!$D$19-SUM($AL75:$AU75),2)-(SUM($H75:P75)-SUM($AL75:AT75)),2)))</f>
        <v>0.0</v>
      </c>
      <c r="R75" s="31">
        <f>IF(R74+AB75-H75&lt;=0.01,0,ROUND(R74+AB75-H75,2))</f>
        <v>0.0</v>
      </c>
      <c r="S75" s="31">
        <f>IF(S74+AC75-I75&lt;=0.01,0,ROUND(S74+AC75-I75,2))</f>
        <v>0.0</v>
      </c>
      <c r="T75" s="31">
        <f>IF(T74+AD75-J75&lt;=0.01,0,ROUND(T74+AD75-J75,2))</f>
        <v>0.0</v>
      </c>
      <c r="U75" s="31">
        <f>IF(U74+AE75-K75&lt;=0.01,0,ROUND(U74+AE75-K75,2))</f>
        <v>0.0</v>
      </c>
      <c r="V75" s="31">
        <f>IF(V74+AF75-L75&lt;=0.01,0,ROUND(V74+AF75-L75,2))</f>
        <v>0.0</v>
      </c>
      <c r="W75" s="31">
        <f>IF(W74+AG75-M75&lt;=0.01,0,ROUND(W74+AG75-M75,2))</f>
        <v>0.0</v>
      </c>
      <c r="X75" s="31">
        <f>IF(X74+AH75-N75&lt;=0.01,0,ROUND(X74+AH75-N75,2))</f>
        <v>0.0</v>
      </c>
      <c r="Y75" s="31">
        <f>IF(Y74+AI75-O75&lt;=0.01,0,ROUND(Y74+AI75-O75,2))</f>
        <v>0.0</v>
      </c>
      <c r="Z75" s="31">
        <f>IF(Z74+AJ75-P75&lt;=0.01,0,ROUND(Z74+AJ75-P75,2))</f>
        <v>0.0</v>
      </c>
      <c r="AA75" s="31">
        <f>IF(AA74+AK75-Q75&lt;=0.01,0,ROUND(AA74+AK75-Q75,2))</f>
        <v>0.0</v>
      </c>
      <c r="AB75" s="31">
        <f>ROUND(R74*AB$5/1200,2)</f>
        <v>0.0</v>
      </c>
      <c r="AC75" s="31">
        <f>ROUND(S74*AC$5/1200,2)</f>
        <v>0.0</v>
      </c>
      <c r="AD75" s="31">
        <f>ROUND(T74*AD$5/1200,2)</f>
        <v>0.0</v>
      </c>
      <c r="AE75" s="31">
        <f>ROUND(U74*AE$5/1200,2)</f>
        <v>0.0</v>
      </c>
      <c r="AF75" s="31">
        <f>ROUND(V74*AF$5/1200,2)</f>
        <v>0.0</v>
      </c>
      <c r="AG75" s="31">
        <f>ROUND(W74*AG$5/1200,2)</f>
        <v>0.0</v>
      </c>
      <c r="AH75" s="31">
        <f>ROUND(X74*AH$5/1200,2)</f>
        <v>0.0</v>
      </c>
      <c r="AI75" s="31">
        <f>ROUND(Y74*AI$5/1200,2)</f>
        <v>0.0</v>
      </c>
      <c r="AJ75" s="31">
        <f>ROUND(Z74*AJ$5/1200,2)</f>
        <v>0.0</v>
      </c>
      <c r="AK75" s="31">
        <f>ROUND(AA74*AK$5/1200,2)</f>
        <v>0.0</v>
      </c>
      <c r="AL75" s="31">
        <f>MIN(AL$5,R74+AB75)</f>
        <v>0.0</v>
      </c>
      <c r="AM75" s="31">
        <f>MIN(AM$5,S74+AC75)</f>
        <v>0.0</v>
      </c>
      <c r="AN75" s="31">
        <f>MIN(AN$5,T74+AD75)</f>
        <v>0.0</v>
      </c>
      <c r="AO75" s="31">
        <f>MIN(AO$5,U74+AE75)</f>
        <v>0.0</v>
      </c>
      <c r="AP75" s="31">
        <f>MIN(AP$5,V74+AF75)</f>
        <v>0.0</v>
      </c>
      <c r="AQ75" s="31">
        <f>MIN(AQ$5,W74+AG75)</f>
        <v>0.0</v>
      </c>
      <c r="AR75" s="31">
        <f>MIN(AR$5,X74+AH75)</f>
        <v>0.0</v>
      </c>
      <c r="AS75" s="31">
        <f>MIN(AS$5,Y74+AI75)</f>
        <v>0.0</v>
      </c>
      <c r="AT75" s="31">
        <f>MIN(AT$5,Z74+AJ75)</f>
        <v>0.0</v>
      </c>
      <c r="AU75" s="31">
        <f>MIN(AU$5,AA74+AK75)</f>
        <v>0.0</v>
      </c>
    </row>
    <row r="76">
      <c r="A76" s="25" t="str">
        <f>IF(F75&gt;0.005,71,"")</f>
        <v/>
      </c>
      <c r="B76" s="33" t="str">
        <f>IF(A76="","",EDATE(Долги!$D$5,70))</f>
        <v/>
      </c>
      <c r="C76" s="31">
        <f>SUM(H76:Q76)</f>
        <v>0.0</v>
      </c>
      <c r="D76" s="31">
        <f>SUM(AB76:AK76)</f>
        <v>0.0</v>
      </c>
      <c r="E76" s="31">
        <f>C76-D76</f>
        <v>0.0</v>
      </c>
      <c r="F76" s="31">
        <f>SUM(R76:AA76)</f>
        <v>0.0</v>
      </c>
      <c r="G76" s="34" t="str">
        <f>IF(OR(A76="",$F$5&lt;=0),"",REPT("█",ROUND(20*F76/$F$5,0)))</f>
        <v/>
      </c>
      <c r="H76" s="31">
        <f>AL76+MIN(R75+AB76-AL76,MAX(0,ROUND(Долги!$D$19-SUM($AL76:$AU76),2)))</f>
        <v>0.0</v>
      </c>
      <c r="I76" s="31">
        <f>AM76+MIN(S75+AC76-AM76,MAX(0,ROUND(ROUND(Долги!$D$19-SUM($AL76:$AU76),2)-(SUM($H76:H76)-SUM($AL76:AL76)),2)))</f>
        <v>0.0</v>
      </c>
      <c r="J76" s="31">
        <f>AN76+MIN(T75+AD76-AN76,MAX(0,ROUND(ROUND(Долги!$D$19-SUM($AL76:$AU76),2)-(SUM($H76:I76)-SUM($AL76:AM76)),2)))</f>
        <v>0.0</v>
      </c>
      <c r="K76" s="31">
        <f>AO76+MIN(U75+AE76-AO76,MAX(0,ROUND(ROUND(Долги!$D$19-SUM($AL76:$AU76),2)-(SUM($H76:J76)-SUM($AL76:AN76)),2)))</f>
        <v>0.0</v>
      </c>
      <c r="L76" s="31">
        <f>AP76+MIN(V75+AF76-AP76,MAX(0,ROUND(ROUND(Долги!$D$19-SUM($AL76:$AU76),2)-(SUM($H76:K76)-SUM($AL76:AO76)),2)))</f>
        <v>0.0</v>
      </c>
      <c r="M76" s="31">
        <f>AQ76+MIN(W75+AG76-AQ76,MAX(0,ROUND(ROUND(Долги!$D$19-SUM($AL76:$AU76),2)-(SUM($H76:L76)-SUM($AL76:AP76)),2)))</f>
        <v>0.0</v>
      </c>
      <c r="N76" s="31">
        <f>AR76+MIN(X75+AH76-AR76,MAX(0,ROUND(ROUND(Долги!$D$19-SUM($AL76:$AU76),2)-(SUM($H76:M76)-SUM($AL76:AQ76)),2)))</f>
        <v>0.0</v>
      </c>
      <c r="O76" s="31">
        <f>AS76+MIN(Y75+AI76-AS76,MAX(0,ROUND(ROUND(Долги!$D$19-SUM($AL76:$AU76),2)-(SUM($H76:N76)-SUM($AL76:AR76)),2)))</f>
        <v>0.0</v>
      </c>
      <c r="P76" s="31">
        <f>AT76+MIN(Z75+AJ76-AT76,MAX(0,ROUND(ROUND(Долги!$D$19-SUM($AL76:$AU76),2)-(SUM($H76:O76)-SUM($AL76:AS76)),2)))</f>
        <v>0.0</v>
      </c>
      <c r="Q76" s="31">
        <f>AU76+MIN(AA75+AK76-AU76,MAX(0,ROUND(ROUND(Долги!$D$19-SUM($AL76:$AU76),2)-(SUM($H76:P76)-SUM($AL76:AT76)),2)))</f>
        <v>0.0</v>
      </c>
      <c r="R76" s="31">
        <f>IF(R75+AB76-H76&lt;=0.01,0,ROUND(R75+AB76-H76,2))</f>
        <v>0.0</v>
      </c>
      <c r="S76" s="31">
        <f>IF(S75+AC76-I76&lt;=0.01,0,ROUND(S75+AC76-I76,2))</f>
        <v>0.0</v>
      </c>
      <c r="T76" s="31">
        <f>IF(T75+AD76-J76&lt;=0.01,0,ROUND(T75+AD76-J76,2))</f>
        <v>0.0</v>
      </c>
      <c r="U76" s="31">
        <f>IF(U75+AE76-K76&lt;=0.01,0,ROUND(U75+AE76-K76,2))</f>
        <v>0.0</v>
      </c>
      <c r="V76" s="31">
        <f>IF(V75+AF76-L76&lt;=0.01,0,ROUND(V75+AF76-L76,2))</f>
        <v>0.0</v>
      </c>
      <c r="W76" s="31">
        <f>IF(W75+AG76-M76&lt;=0.01,0,ROUND(W75+AG76-M76,2))</f>
        <v>0.0</v>
      </c>
      <c r="X76" s="31">
        <f>IF(X75+AH76-N76&lt;=0.01,0,ROUND(X75+AH76-N76,2))</f>
        <v>0.0</v>
      </c>
      <c r="Y76" s="31">
        <f>IF(Y75+AI76-O76&lt;=0.01,0,ROUND(Y75+AI76-O76,2))</f>
        <v>0.0</v>
      </c>
      <c r="Z76" s="31">
        <f>IF(Z75+AJ76-P76&lt;=0.01,0,ROUND(Z75+AJ76-P76,2))</f>
        <v>0.0</v>
      </c>
      <c r="AA76" s="31">
        <f>IF(AA75+AK76-Q76&lt;=0.01,0,ROUND(AA75+AK76-Q76,2))</f>
        <v>0.0</v>
      </c>
      <c r="AB76" s="31">
        <f>ROUND(R75*AB$5/1200,2)</f>
        <v>0.0</v>
      </c>
      <c r="AC76" s="31">
        <f>ROUND(S75*AC$5/1200,2)</f>
        <v>0.0</v>
      </c>
      <c r="AD76" s="31">
        <f>ROUND(T75*AD$5/1200,2)</f>
        <v>0.0</v>
      </c>
      <c r="AE76" s="31">
        <f>ROUND(U75*AE$5/1200,2)</f>
        <v>0.0</v>
      </c>
      <c r="AF76" s="31">
        <f>ROUND(V75*AF$5/1200,2)</f>
        <v>0.0</v>
      </c>
      <c r="AG76" s="31">
        <f>ROUND(W75*AG$5/1200,2)</f>
        <v>0.0</v>
      </c>
      <c r="AH76" s="31">
        <f>ROUND(X75*AH$5/1200,2)</f>
        <v>0.0</v>
      </c>
      <c r="AI76" s="31">
        <f>ROUND(Y75*AI$5/1200,2)</f>
        <v>0.0</v>
      </c>
      <c r="AJ76" s="31">
        <f>ROUND(Z75*AJ$5/1200,2)</f>
        <v>0.0</v>
      </c>
      <c r="AK76" s="31">
        <f>ROUND(AA75*AK$5/1200,2)</f>
        <v>0.0</v>
      </c>
      <c r="AL76" s="31">
        <f>MIN(AL$5,R75+AB76)</f>
        <v>0.0</v>
      </c>
      <c r="AM76" s="31">
        <f>MIN(AM$5,S75+AC76)</f>
        <v>0.0</v>
      </c>
      <c r="AN76" s="31">
        <f>MIN(AN$5,T75+AD76)</f>
        <v>0.0</v>
      </c>
      <c r="AO76" s="31">
        <f>MIN(AO$5,U75+AE76)</f>
        <v>0.0</v>
      </c>
      <c r="AP76" s="31">
        <f>MIN(AP$5,V75+AF76)</f>
        <v>0.0</v>
      </c>
      <c r="AQ76" s="31">
        <f>MIN(AQ$5,W75+AG76)</f>
        <v>0.0</v>
      </c>
      <c r="AR76" s="31">
        <f>MIN(AR$5,X75+AH76)</f>
        <v>0.0</v>
      </c>
      <c r="AS76" s="31">
        <f>MIN(AS$5,Y75+AI76)</f>
        <v>0.0</v>
      </c>
      <c r="AT76" s="31">
        <f>MIN(AT$5,Z75+AJ76)</f>
        <v>0.0</v>
      </c>
      <c r="AU76" s="31">
        <f>MIN(AU$5,AA75+AK76)</f>
        <v>0.0</v>
      </c>
    </row>
    <row r="77">
      <c r="A77" s="25" t="str">
        <f>IF(F76&gt;0.005,72,"")</f>
        <v/>
      </c>
      <c r="B77" s="33" t="str">
        <f>IF(A77="","",EDATE(Долги!$D$5,71))</f>
        <v/>
      </c>
      <c r="C77" s="31">
        <f>SUM(H77:Q77)</f>
        <v>0.0</v>
      </c>
      <c r="D77" s="31">
        <f>SUM(AB77:AK77)</f>
        <v>0.0</v>
      </c>
      <c r="E77" s="31">
        <f>C77-D77</f>
        <v>0.0</v>
      </c>
      <c r="F77" s="31">
        <f>SUM(R77:AA77)</f>
        <v>0.0</v>
      </c>
      <c r="G77" s="34" t="str">
        <f>IF(OR(A77="",$F$5&lt;=0),"",REPT("█",ROUND(20*F77/$F$5,0)))</f>
        <v/>
      </c>
      <c r="H77" s="31">
        <f>AL77+MIN(R76+AB77-AL77,MAX(0,ROUND(Долги!$D$19-SUM($AL77:$AU77),2)))</f>
        <v>0.0</v>
      </c>
      <c r="I77" s="31">
        <f>AM77+MIN(S76+AC77-AM77,MAX(0,ROUND(ROUND(Долги!$D$19-SUM($AL77:$AU77),2)-(SUM($H77:H77)-SUM($AL77:AL77)),2)))</f>
        <v>0.0</v>
      </c>
      <c r="J77" s="31">
        <f>AN77+MIN(T76+AD77-AN77,MAX(0,ROUND(ROUND(Долги!$D$19-SUM($AL77:$AU77),2)-(SUM($H77:I77)-SUM($AL77:AM77)),2)))</f>
        <v>0.0</v>
      </c>
      <c r="K77" s="31">
        <f>AO77+MIN(U76+AE77-AO77,MAX(0,ROUND(ROUND(Долги!$D$19-SUM($AL77:$AU77),2)-(SUM($H77:J77)-SUM($AL77:AN77)),2)))</f>
        <v>0.0</v>
      </c>
      <c r="L77" s="31">
        <f>AP77+MIN(V76+AF77-AP77,MAX(0,ROUND(ROUND(Долги!$D$19-SUM($AL77:$AU77),2)-(SUM($H77:K77)-SUM($AL77:AO77)),2)))</f>
        <v>0.0</v>
      </c>
      <c r="M77" s="31">
        <f>AQ77+MIN(W76+AG77-AQ77,MAX(0,ROUND(ROUND(Долги!$D$19-SUM($AL77:$AU77),2)-(SUM($H77:L77)-SUM($AL77:AP77)),2)))</f>
        <v>0.0</v>
      </c>
      <c r="N77" s="31">
        <f>AR77+MIN(X76+AH77-AR77,MAX(0,ROUND(ROUND(Долги!$D$19-SUM($AL77:$AU77),2)-(SUM($H77:M77)-SUM($AL77:AQ77)),2)))</f>
        <v>0.0</v>
      </c>
      <c r="O77" s="31">
        <f>AS77+MIN(Y76+AI77-AS77,MAX(0,ROUND(ROUND(Долги!$D$19-SUM($AL77:$AU77),2)-(SUM($H77:N77)-SUM($AL77:AR77)),2)))</f>
        <v>0.0</v>
      </c>
      <c r="P77" s="31">
        <f>AT77+MIN(Z76+AJ77-AT77,MAX(0,ROUND(ROUND(Долги!$D$19-SUM($AL77:$AU77),2)-(SUM($H77:O77)-SUM($AL77:AS77)),2)))</f>
        <v>0.0</v>
      </c>
      <c r="Q77" s="31">
        <f>AU77+MIN(AA76+AK77-AU77,MAX(0,ROUND(ROUND(Долги!$D$19-SUM($AL77:$AU77),2)-(SUM($H77:P77)-SUM($AL77:AT77)),2)))</f>
        <v>0.0</v>
      </c>
      <c r="R77" s="31">
        <f>IF(R76+AB77-H77&lt;=0.01,0,ROUND(R76+AB77-H77,2))</f>
        <v>0.0</v>
      </c>
      <c r="S77" s="31">
        <f>IF(S76+AC77-I77&lt;=0.01,0,ROUND(S76+AC77-I77,2))</f>
        <v>0.0</v>
      </c>
      <c r="T77" s="31">
        <f>IF(T76+AD77-J77&lt;=0.01,0,ROUND(T76+AD77-J77,2))</f>
        <v>0.0</v>
      </c>
      <c r="U77" s="31">
        <f>IF(U76+AE77-K77&lt;=0.01,0,ROUND(U76+AE77-K77,2))</f>
        <v>0.0</v>
      </c>
      <c r="V77" s="31">
        <f>IF(V76+AF77-L77&lt;=0.01,0,ROUND(V76+AF77-L77,2))</f>
        <v>0.0</v>
      </c>
      <c r="W77" s="31">
        <f>IF(W76+AG77-M77&lt;=0.01,0,ROUND(W76+AG77-M77,2))</f>
        <v>0.0</v>
      </c>
      <c r="X77" s="31">
        <f>IF(X76+AH77-N77&lt;=0.01,0,ROUND(X76+AH77-N77,2))</f>
        <v>0.0</v>
      </c>
      <c r="Y77" s="31">
        <f>IF(Y76+AI77-O77&lt;=0.01,0,ROUND(Y76+AI77-O77,2))</f>
        <v>0.0</v>
      </c>
      <c r="Z77" s="31">
        <f>IF(Z76+AJ77-P77&lt;=0.01,0,ROUND(Z76+AJ77-P77,2))</f>
        <v>0.0</v>
      </c>
      <c r="AA77" s="31">
        <f>IF(AA76+AK77-Q77&lt;=0.01,0,ROUND(AA76+AK77-Q77,2))</f>
        <v>0.0</v>
      </c>
      <c r="AB77" s="31">
        <f>ROUND(R76*AB$5/1200,2)</f>
        <v>0.0</v>
      </c>
      <c r="AC77" s="31">
        <f>ROUND(S76*AC$5/1200,2)</f>
        <v>0.0</v>
      </c>
      <c r="AD77" s="31">
        <f>ROUND(T76*AD$5/1200,2)</f>
        <v>0.0</v>
      </c>
      <c r="AE77" s="31">
        <f>ROUND(U76*AE$5/1200,2)</f>
        <v>0.0</v>
      </c>
      <c r="AF77" s="31">
        <f>ROUND(V76*AF$5/1200,2)</f>
        <v>0.0</v>
      </c>
      <c r="AG77" s="31">
        <f>ROUND(W76*AG$5/1200,2)</f>
        <v>0.0</v>
      </c>
      <c r="AH77" s="31">
        <f>ROUND(X76*AH$5/1200,2)</f>
        <v>0.0</v>
      </c>
      <c r="AI77" s="31">
        <f>ROUND(Y76*AI$5/1200,2)</f>
        <v>0.0</v>
      </c>
      <c r="AJ77" s="31">
        <f>ROUND(Z76*AJ$5/1200,2)</f>
        <v>0.0</v>
      </c>
      <c r="AK77" s="31">
        <f>ROUND(AA76*AK$5/1200,2)</f>
        <v>0.0</v>
      </c>
      <c r="AL77" s="31">
        <f>MIN(AL$5,R76+AB77)</f>
        <v>0.0</v>
      </c>
      <c r="AM77" s="31">
        <f>MIN(AM$5,S76+AC77)</f>
        <v>0.0</v>
      </c>
      <c r="AN77" s="31">
        <f>MIN(AN$5,T76+AD77)</f>
        <v>0.0</v>
      </c>
      <c r="AO77" s="31">
        <f>MIN(AO$5,U76+AE77)</f>
        <v>0.0</v>
      </c>
      <c r="AP77" s="31">
        <f>MIN(AP$5,V76+AF77)</f>
        <v>0.0</v>
      </c>
      <c r="AQ77" s="31">
        <f>MIN(AQ$5,W76+AG77)</f>
        <v>0.0</v>
      </c>
      <c r="AR77" s="31">
        <f>MIN(AR$5,X76+AH77)</f>
        <v>0.0</v>
      </c>
      <c r="AS77" s="31">
        <f>MIN(AS$5,Y76+AI77)</f>
        <v>0.0</v>
      </c>
      <c r="AT77" s="31">
        <f>MIN(AT$5,Z76+AJ77)</f>
        <v>0.0</v>
      </c>
      <c r="AU77" s="31">
        <f>MIN(AU$5,AA76+AK77)</f>
        <v>0.0</v>
      </c>
    </row>
    <row r="78">
      <c r="A78" s="25" t="str">
        <f>IF(F77&gt;0.005,73,"")</f>
        <v/>
      </c>
      <c r="B78" s="33" t="str">
        <f>IF(A78="","",EDATE(Долги!$D$5,72))</f>
        <v/>
      </c>
      <c r="C78" s="31">
        <f>SUM(H78:Q78)</f>
        <v>0.0</v>
      </c>
      <c r="D78" s="31">
        <f>SUM(AB78:AK78)</f>
        <v>0.0</v>
      </c>
      <c r="E78" s="31">
        <f>C78-D78</f>
        <v>0.0</v>
      </c>
      <c r="F78" s="31">
        <f>SUM(R78:AA78)</f>
        <v>0.0</v>
      </c>
      <c r="G78" s="34" t="str">
        <f>IF(OR(A78="",$F$5&lt;=0),"",REPT("█",ROUND(20*F78/$F$5,0)))</f>
        <v/>
      </c>
      <c r="H78" s="31">
        <f>AL78+MIN(R77+AB78-AL78,MAX(0,ROUND(Долги!$D$19-SUM($AL78:$AU78),2)))</f>
        <v>0.0</v>
      </c>
      <c r="I78" s="31">
        <f>AM78+MIN(S77+AC78-AM78,MAX(0,ROUND(ROUND(Долги!$D$19-SUM($AL78:$AU78),2)-(SUM($H78:H78)-SUM($AL78:AL78)),2)))</f>
        <v>0.0</v>
      </c>
      <c r="J78" s="31">
        <f>AN78+MIN(T77+AD78-AN78,MAX(0,ROUND(ROUND(Долги!$D$19-SUM($AL78:$AU78),2)-(SUM($H78:I78)-SUM($AL78:AM78)),2)))</f>
        <v>0.0</v>
      </c>
      <c r="K78" s="31">
        <f>AO78+MIN(U77+AE78-AO78,MAX(0,ROUND(ROUND(Долги!$D$19-SUM($AL78:$AU78),2)-(SUM($H78:J78)-SUM($AL78:AN78)),2)))</f>
        <v>0.0</v>
      </c>
      <c r="L78" s="31">
        <f>AP78+MIN(V77+AF78-AP78,MAX(0,ROUND(ROUND(Долги!$D$19-SUM($AL78:$AU78),2)-(SUM($H78:K78)-SUM($AL78:AO78)),2)))</f>
        <v>0.0</v>
      </c>
      <c r="M78" s="31">
        <f>AQ78+MIN(W77+AG78-AQ78,MAX(0,ROUND(ROUND(Долги!$D$19-SUM($AL78:$AU78),2)-(SUM($H78:L78)-SUM($AL78:AP78)),2)))</f>
        <v>0.0</v>
      </c>
      <c r="N78" s="31">
        <f>AR78+MIN(X77+AH78-AR78,MAX(0,ROUND(ROUND(Долги!$D$19-SUM($AL78:$AU78),2)-(SUM($H78:M78)-SUM($AL78:AQ78)),2)))</f>
        <v>0.0</v>
      </c>
      <c r="O78" s="31">
        <f>AS78+MIN(Y77+AI78-AS78,MAX(0,ROUND(ROUND(Долги!$D$19-SUM($AL78:$AU78),2)-(SUM($H78:N78)-SUM($AL78:AR78)),2)))</f>
        <v>0.0</v>
      </c>
      <c r="P78" s="31">
        <f>AT78+MIN(Z77+AJ78-AT78,MAX(0,ROUND(ROUND(Долги!$D$19-SUM($AL78:$AU78),2)-(SUM($H78:O78)-SUM($AL78:AS78)),2)))</f>
        <v>0.0</v>
      </c>
      <c r="Q78" s="31">
        <f>AU78+MIN(AA77+AK78-AU78,MAX(0,ROUND(ROUND(Долги!$D$19-SUM($AL78:$AU78),2)-(SUM($H78:P78)-SUM($AL78:AT78)),2)))</f>
        <v>0.0</v>
      </c>
      <c r="R78" s="31">
        <f>IF(R77+AB78-H78&lt;=0.01,0,ROUND(R77+AB78-H78,2))</f>
        <v>0.0</v>
      </c>
      <c r="S78" s="31">
        <f>IF(S77+AC78-I78&lt;=0.01,0,ROUND(S77+AC78-I78,2))</f>
        <v>0.0</v>
      </c>
      <c r="T78" s="31">
        <f>IF(T77+AD78-J78&lt;=0.01,0,ROUND(T77+AD78-J78,2))</f>
        <v>0.0</v>
      </c>
      <c r="U78" s="31">
        <f>IF(U77+AE78-K78&lt;=0.01,0,ROUND(U77+AE78-K78,2))</f>
        <v>0.0</v>
      </c>
      <c r="V78" s="31">
        <f>IF(V77+AF78-L78&lt;=0.01,0,ROUND(V77+AF78-L78,2))</f>
        <v>0.0</v>
      </c>
      <c r="W78" s="31">
        <f>IF(W77+AG78-M78&lt;=0.01,0,ROUND(W77+AG78-M78,2))</f>
        <v>0.0</v>
      </c>
      <c r="X78" s="31">
        <f>IF(X77+AH78-N78&lt;=0.01,0,ROUND(X77+AH78-N78,2))</f>
        <v>0.0</v>
      </c>
      <c r="Y78" s="31">
        <f>IF(Y77+AI78-O78&lt;=0.01,0,ROUND(Y77+AI78-O78,2))</f>
        <v>0.0</v>
      </c>
      <c r="Z78" s="31">
        <f>IF(Z77+AJ78-P78&lt;=0.01,0,ROUND(Z77+AJ78-P78,2))</f>
        <v>0.0</v>
      </c>
      <c r="AA78" s="31">
        <f>IF(AA77+AK78-Q78&lt;=0.01,0,ROUND(AA77+AK78-Q78,2))</f>
        <v>0.0</v>
      </c>
      <c r="AB78" s="31">
        <f>ROUND(R77*AB$5/1200,2)</f>
        <v>0.0</v>
      </c>
      <c r="AC78" s="31">
        <f>ROUND(S77*AC$5/1200,2)</f>
        <v>0.0</v>
      </c>
      <c r="AD78" s="31">
        <f>ROUND(T77*AD$5/1200,2)</f>
        <v>0.0</v>
      </c>
      <c r="AE78" s="31">
        <f>ROUND(U77*AE$5/1200,2)</f>
        <v>0.0</v>
      </c>
      <c r="AF78" s="31">
        <f>ROUND(V77*AF$5/1200,2)</f>
        <v>0.0</v>
      </c>
      <c r="AG78" s="31">
        <f>ROUND(W77*AG$5/1200,2)</f>
        <v>0.0</v>
      </c>
      <c r="AH78" s="31">
        <f>ROUND(X77*AH$5/1200,2)</f>
        <v>0.0</v>
      </c>
      <c r="AI78" s="31">
        <f>ROUND(Y77*AI$5/1200,2)</f>
        <v>0.0</v>
      </c>
      <c r="AJ78" s="31">
        <f>ROUND(Z77*AJ$5/1200,2)</f>
        <v>0.0</v>
      </c>
      <c r="AK78" s="31">
        <f>ROUND(AA77*AK$5/1200,2)</f>
        <v>0.0</v>
      </c>
      <c r="AL78" s="31">
        <f>MIN(AL$5,R77+AB78)</f>
        <v>0.0</v>
      </c>
      <c r="AM78" s="31">
        <f>MIN(AM$5,S77+AC78)</f>
        <v>0.0</v>
      </c>
      <c r="AN78" s="31">
        <f>MIN(AN$5,T77+AD78)</f>
        <v>0.0</v>
      </c>
      <c r="AO78" s="31">
        <f>MIN(AO$5,U77+AE78)</f>
        <v>0.0</v>
      </c>
      <c r="AP78" s="31">
        <f>MIN(AP$5,V77+AF78)</f>
        <v>0.0</v>
      </c>
      <c r="AQ78" s="31">
        <f>MIN(AQ$5,W77+AG78)</f>
        <v>0.0</v>
      </c>
      <c r="AR78" s="31">
        <f>MIN(AR$5,X77+AH78)</f>
        <v>0.0</v>
      </c>
      <c r="AS78" s="31">
        <f>MIN(AS$5,Y77+AI78)</f>
        <v>0.0</v>
      </c>
      <c r="AT78" s="31">
        <f>MIN(AT$5,Z77+AJ78)</f>
        <v>0.0</v>
      </c>
      <c r="AU78" s="31">
        <f>MIN(AU$5,AA77+AK78)</f>
        <v>0.0</v>
      </c>
    </row>
    <row r="79">
      <c r="A79" s="25" t="str">
        <f>IF(F78&gt;0.005,74,"")</f>
        <v/>
      </c>
      <c r="B79" s="33" t="str">
        <f>IF(A79="","",EDATE(Долги!$D$5,73))</f>
        <v/>
      </c>
      <c r="C79" s="31">
        <f>SUM(H79:Q79)</f>
        <v>0.0</v>
      </c>
      <c r="D79" s="31">
        <f>SUM(AB79:AK79)</f>
        <v>0.0</v>
      </c>
      <c r="E79" s="31">
        <f>C79-D79</f>
        <v>0.0</v>
      </c>
      <c r="F79" s="31">
        <f>SUM(R79:AA79)</f>
        <v>0.0</v>
      </c>
      <c r="G79" s="34" t="str">
        <f>IF(OR(A79="",$F$5&lt;=0),"",REPT("█",ROUND(20*F79/$F$5,0)))</f>
        <v/>
      </c>
      <c r="H79" s="31">
        <f>AL79+MIN(R78+AB79-AL79,MAX(0,ROUND(Долги!$D$19-SUM($AL79:$AU79),2)))</f>
        <v>0.0</v>
      </c>
      <c r="I79" s="31">
        <f>AM79+MIN(S78+AC79-AM79,MAX(0,ROUND(ROUND(Долги!$D$19-SUM($AL79:$AU79),2)-(SUM($H79:H79)-SUM($AL79:AL79)),2)))</f>
        <v>0.0</v>
      </c>
      <c r="J79" s="31">
        <f>AN79+MIN(T78+AD79-AN79,MAX(0,ROUND(ROUND(Долги!$D$19-SUM($AL79:$AU79),2)-(SUM($H79:I79)-SUM($AL79:AM79)),2)))</f>
        <v>0.0</v>
      </c>
      <c r="K79" s="31">
        <f>AO79+MIN(U78+AE79-AO79,MAX(0,ROUND(ROUND(Долги!$D$19-SUM($AL79:$AU79),2)-(SUM($H79:J79)-SUM($AL79:AN79)),2)))</f>
        <v>0.0</v>
      </c>
      <c r="L79" s="31">
        <f>AP79+MIN(V78+AF79-AP79,MAX(0,ROUND(ROUND(Долги!$D$19-SUM($AL79:$AU79),2)-(SUM($H79:K79)-SUM($AL79:AO79)),2)))</f>
        <v>0.0</v>
      </c>
      <c r="M79" s="31">
        <f>AQ79+MIN(W78+AG79-AQ79,MAX(0,ROUND(ROUND(Долги!$D$19-SUM($AL79:$AU79),2)-(SUM($H79:L79)-SUM($AL79:AP79)),2)))</f>
        <v>0.0</v>
      </c>
      <c r="N79" s="31">
        <f>AR79+MIN(X78+AH79-AR79,MAX(0,ROUND(ROUND(Долги!$D$19-SUM($AL79:$AU79),2)-(SUM($H79:M79)-SUM($AL79:AQ79)),2)))</f>
        <v>0.0</v>
      </c>
      <c r="O79" s="31">
        <f>AS79+MIN(Y78+AI79-AS79,MAX(0,ROUND(ROUND(Долги!$D$19-SUM($AL79:$AU79),2)-(SUM($H79:N79)-SUM($AL79:AR79)),2)))</f>
        <v>0.0</v>
      </c>
      <c r="P79" s="31">
        <f>AT79+MIN(Z78+AJ79-AT79,MAX(0,ROUND(ROUND(Долги!$D$19-SUM($AL79:$AU79),2)-(SUM($H79:O79)-SUM($AL79:AS79)),2)))</f>
        <v>0.0</v>
      </c>
      <c r="Q79" s="31">
        <f>AU79+MIN(AA78+AK79-AU79,MAX(0,ROUND(ROUND(Долги!$D$19-SUM($AL79:$AU79),2)-(SUM($H79:P79)-SUM($AL79:AT79)),2)))</f>
        <v>0.0</v>
      </c>
      <c r="R79" s="31">
        <f>IF(R78+AB79-H79&lt;=0.01,0,ROUND(R78+AB79-H79,2))</f>
        <v>0.0</v>
      </c>
      <c r="S79" s="31">
        <f>IF(S78+AC79-I79&lt;=0.01,0,ROUND(S78+AC79-I79,2))</f>
        <v>0.0</v>
      </c>
      <c r="T79" s="31">
        <f>IF(T78+AD79-J79&lt;=0.01,0,ROUND(T78+AD79-J79,2))</f>
        <v>0.0</v>
      </c>
      <c r="U79" s="31">
        <f>IF(U78+AE79-K79&lt;=0.01,0,ROUND(U78+AE79-K79,2))</f>
        <v>0.0</v>
      </c>
      <c r="V79" s="31">
        <f>IF(V78+AF79-L79&lt;=0.01,0,ROUND(V78+AF79-L79,2))</f>
        <v>0.0</v>
      </c>
      <c r="W79" s="31">
        <f>IF(W78+AG79-M79&lt;=0.01,0,ROUND(W78+AG79-M79,2))</f>
        <v>0.0</v>
      </c>
      <c r="X79" s="31">
        <f>IF(X78+AH79-N79&lt;=0.01,0,ROUND(X78+AH79-N79,2))</f>
        <v>0.0</v>
      </c>
      <c r="Y79" s="31">
        <f>IF(Y78+AI79-O79&lt;=0.01,0,ROUND(Y78+AI79-O79,2))</f>
        <v>0.0</v>
      </c>
      <c r="Z79" s="31">
        <f>IF(Z78+AJ79-P79&lt;=0.01,0,ROUND(Z78+AJ79-P79,2))</f>
        <v>0.0</v>
      </c>
      <c r="AA79" s="31">
        <f>IF(AA78+AK79-Q79&lt;=0.01,0,ROUND(AA78+AK79-Q79,2))</f>
        <v>0.0</v>
      </c>
      <c r="AB79" s="31">
        <f>ROUND(R78*AB$5/1200,2)</f>
        <v>0.0</v>
      </c>
      <c r="AC79" s="31">
        <f>ROUND(S78*AC$5/1200,2)</f>
        <v>0.0</v>
      </c>
      <c r="AD79" s="31">
        <f>ROUND(T78*AD$5/1200,2)</f>
        <v>0.0</v>
      </c>
      <c r="AE79" s="31">
        <f>ROUND(U78*AE$5/1200,2)</f>
        <v>0.0</v>
      </c>
      <c r="AF79" s="31">
        <f>ROUND(V78*AF$5/1200,2)</f>
        <v>0.0</v>
      </c>
      <c r="AG79" s="31">
        <f>ROUND(W78*AG$5/1200,2)</f>
        <v>0.0</v>
      </c>
      <c r="AH79" s="31">
        <f>ROUND(X78*AH$5/1200,2)</f>
        <v>0.0</v>
      </c>
      <c r="AI79" s="31">
        <f>ROUND(Y78*AI$5/1200,2)</f>
        <v>0.0</v>
      </c>
      <c r="AJ79" s="31">
        <f>ROUND(Z78*AJ$5/1200,2)</f>
        <v>0.0</v>
      </c>
      <c r="AK79" s="31">
        <f>ROUND(AA78*AK$5/1200,2)</f>
        <v>0.0</v>
      </c>
      <c r="AL79" s="31">
        <f>MIN(AL$5,R78+AB79)</f>
        <v>0.0</v>
      </c>
      <c r="AM79" s="31">
        <f>MIN(AM$5,S78+AC79)</f>
        <v>0.0</v>
      </c>
      <c r="AN79" s="31">
        <f>MIN(AN$5,T78+AD79)</f>
        <v>0.0</v>
      </c>
      <c r="AO79" s="31">
        <f>MIN(AO$5,U78+AE79)</f>
        <v>0.0</v>
      </c>
      <c r="AP79" s="31">
        <f>MIN(AP$5,V78+AF79)</f>
        <v>0.0</v>
      </c>
      <c r="AQ79" s="31">
        <f>MIN(AQ$5,W78+AG79)</f>
        <v>0.0</v>
      </c>
      <c r="AR79" s="31">
        <f>MIN(AR$5,X78+AH79)</f>
        <v>0.0</v>
      </c>
      <c r="AS79" s="31">
        <f>MIN(AS$5,Y78+AI79)</f>
        <v>0.0</v>
      </c>
      <c r="AT79" s="31">
        <f>MIN(AT$5,Z78+AJ79)</f>
        <v>0.0</v>
      </c>
      <c r="AU79" s="31">
        <f>MIN(AU$5,AA78+AK79)</f>
        <v>0.0</v>
      </c>
    </row>
    <row r="80">
      <c r="A80" s="25" t="str">
        <f>IF(F79&gt;0.005,75,"")</f>
        <v/>
      </c>
      <c r="B80" s="33" t="str">
        <f>IF(A80="","",EDATE(Долги!$D$5,74))</f>
        <v/>
      </c>
      <c r="C80" s="31">
        <f>SUM(H80:Q80)</f>
        <v>0.0</v>
      </c>
      <c r="D80" s="31">
        <f>SUM(AB80:AK80)</f>
        <v>0.0</v>
      </c>
      <c r="E80" s="31">
        <f>C80-D80</f>
        <v>0.0</v>
      </c>
      <c r="F80" s="31">
        <f>SUM(R80:AA80)</f>
        <v>0.0</v>
      </c>
      <c r="G80" s="34" t="str">
        <f>IF(OR(A80="",$F$5&lt;=0),"",REPT("█",ROUND(20*F80/$F$5,0)))</f>
        <v/>
      </c>
      <c r="H80" s="31">
        <f>AL80+MIN(R79+AB80-AL80,MAX(0,ROUND(Долги!$D$19-SUM($AL80:$AU80),2)))</f>
        <v>0.0</v>
      </c>
      <c r="I80" s="31">
        <f>AM80+MIN(S79+AC80-AM80,MAX(0,ROUND(ROUND(Долги!$D$19-SUM($AL80:$AU80),2)-(SUM($H80:H80)-SUM($AL80:AL80)),2)))</f>
        <v>0.0</v>
      </c>
      <c r="J80" s="31">
        <f>AN80+MIN(T79+AD80-AN80,MAX(0,ROUND(ROUND(Долги!$D$19-SUM($AL80:$AU80),2)-(SUM($H80:I80)-SUM($AL80:AM80)),2)))</f>
        <v>0.0</v>
      </c>
      <c r="K80" s="31">
        <f>AO80+MIN(U79+AE80-AO80,MAX(0,ROUND(ROUND(Долги!$D$19-SUM($AL80:$AU80),2)-(SUM($H80:J80)-SUM($AL80:AN80)),2)))</f>
        <v>0.0</v>
      </c>
      <c r="L80" s="31">
        <f>AP80+MIN(V79+AF80-AP80,MAX(0,ROUND(ROUND(Долги!$D$19-SUM($AL80:$AU80),2)-(SUM($H80:K80)-SUM($AL80:AO80)),2)))</f>
        <v>0.0</v>
      </c>
      <c r="M80" s="31">
        <f>AQ80+MIN(W79+AG80-AQ80,MAX(0,ROUND(ROUND(Долги!$D$19-SUM($AL80:$AU80),2)-(SUM($H80:L80)-SUM($AL80:AP80)),2)))</f>
        <v>0.0</v>
      </c>
      <c r="N80" s="31">
        <f>AR80+MIN(X79+AH80-AR80,MAX(0,ROUND(ROUND(Долги!$D$19-SUM($AL80:$AU80),2)-(SUM($H80:M80)-SUM($AL80:AQ80)),2)))</f>
        <v>0.0</v>
      </c>
      <c r="O80" s="31">
        <f>AS80+MIN(Y79+AI80-AS80,MAX(0,ROUND(ROUND(Долги!$D$19-SUM($AL80:$AU80),2)-(SUM($H80:N80)-SUM($AL80:AR80)),2)))</f>
        <v>0.0</v>
      </c>
      <c r="P80" s="31">
        <f>AT80+MIN(Z79+AJ80-AT80,MAX(0,ROUND(ROUND(Долги!$D$19-SUM($AL80:$AU80),2)-(SUM($H80:O80)-SUM($AL80:AS80)),2)))</f>
        <v>0.0</v>
      </c>
      <c r="Q80" s="31">
        <f>AU80+MIN(AA79+AK80-AU80,MAX(0,ROUND(ROUND(Долги!$D$19-SUM($AL80:$AU80),2)-(SUM($H80:P80)-SUM($AL80:AT80)),2)))</f>
        <v>0.0</v>
      </c>
      <c r="R80" s="31">
        <f>IF(R79+AB80-H80&lt;=0.01,0,ROUND(R79+AB80-H80,2))</f>
        <v>0.0</v>
      </c>
      <c r="S80" s="31">
        <f>IF(S79+AC80-I80&lt;=0.01,0,ROUND(S79+AC80-I80,2))</f>
        <v>0.0</v>
      </c>
      <c r="T80" s="31">
        <f>IF(T79+AD80-J80&lt;=0.01,0,ROUND(T79+AD80-J80,2))</f>
        <v>0.0</v>
      </c>
      <c r="U80" s="31">
        <f>IF(U79+AE80-K80&lt;=0.01,0,ROUND(U79+AE80-K80,2))</f>
        <v>0.0</v>
      </c>
      <c r="V80" s="31">
        <f>IF(V79+AF80-L80&lt;=0.01,0,ROUND(V79+AF80-L80,2))</f>
        <v>0.0</v>
      </c>
      <c r="W80" s="31">
        <f>IF(W79+AG80-M80&lt;=0.01,0,ROUND(W79+AG80-M80,2))</f>
        <v>0.0</v>
      </c>
      <c r="X80" s="31">
        <f>IF(X79+AH80-N80&lt;=0.01,0,ROUND(X79+AH80-N80,2))</f>
        <v>0.0</v>
      </c>
      <c r="Y80" s="31">
        <f>IF(Y79+AI80-O80&lt;=0.01,0,ROUND(Y79+AI80-O80,2))</f>
        <v>0.0</v>
      </c>
      <c r="Z80" s="31">
        <f>IF(Z79+AJ80-P80&lt;=0.01,0,ROUND(Z79+AJ80-P80,2))</f>
        <v>0.0</v>
      </c>
      <c r="AA80" s="31">
        <f>IF(AA79+AK80-Q80&lt;=0.01,0,ROUND(AA79+AK80-Q80,2))</f>
        <v>0.0</v>
      </c>
      <c r="AB80" s="31">
        <f>ROUND(R79*AB$5/1200,2)</f>
        <v>0.0</v>
      </c>
      <c r="AC80" s="31">
        <f>ROUND(S79*AC$5/1200,2)</f>
        <v>0.0</v>
      </c>
      <c r="AD80" s="31">
        <f>ROUND(T79*AD$5/1200,2)</f>
        <v>0.0</v>
      </c>
      <c r="AE80" s="31">
        <f>ROUND(U79*AE$5/1200,2)</f>
        <v>0.0</v>
      </c>
      <c r="AF80" s="31">
        <f>ROUND(V79*AF$5/1200,2)</f>
        <v>0.0</v>
      </c>
      <c r="AG80" s="31">
        <f>ROUND(W79*AG$5/1200,2)</f>
        <v>0.0</v>
      </c>
      <c r="AH80" s="31">
        <f>ROUND(X79*AH$5/1200,2)</f>
        <v>0.0</v>
      </c>
      <c r="AI80" s="31">
        <f>ROUND(Y79*AI$5/1200,2)</f>
        <v>0.0</v>
      </c>
      <c r="AJ80" s="31">
        <f>ROUND(Z79*AJ$5/1200,2)</f>
        <v>0.0</v>
      </c>
      <c r="AK80" s="31">
        <f>ROUND(AA79*AK$5/1200,2)</f>
        <v>0.0</v>
      </c>
      <c r="AL80" s="31">
        <f>MIN(AL$5,R79+AB80)</f>
        <v>0.0</v>
      </c>
      <c r="AM80" s="31">
        <f>MIN(AM$5,S79+AC80)</f>
        <v>0.0</v>
      </c>
      <c r="AN80" s="31">
        <f>MIN(AN$5,T79+AD80)</f>
        <v>0.0</v>
      </c>
      <c r="AO80" s="31">
        <f>MIN(AO$5,U79+AE80)</f>
        <v>0.0</v>
      </c>
      <c r="AP80" s="31">
        <f>MIN(AP$5,V79+AF80)</f>
        <v>0.0</v>
      </c>
      <c r="AQ80" s="31">
        <f>MIN(AQ$5,W79+AG80)</f>
        <v>0.0</v>
      </c>
      <c r="AR80" s="31">
        <f>MIN(AR$5,X79+AH80)</f>
        <v>0.0</v>
      </c>
      <c r="AS80" s="31">
        <f>MIN(AS$5,Y79+AI80)</f>
        <v>0.0</v>
      </c>
      <c r="AT80" s="31">
        <f>MIN(AT$5,Z79+AJ80)</f>
        <v>0.0</v>
      </c>
      <c r="AU80" s="31">
        <f>MIN(AU$5,AA79+AK80)</f>
        <v>0.0</v>
      </c>
    </row>
    <row r="81">
      <c r="A81" s="25" t="str">
        <f>IF(F80&gt;0.005,76,"")</f>
        <v/>
      </c>
      <c r="B81" s="33" t="str">
        <f>IF(A81="","",EDATE(Долги!$D$5,75))</f>
        <v/>
      </c>
      <c r="C81" s="31">
        <f>SUM(H81:Q81)</f>
        <v>0.0</v>
      </c>
      <c r="D81" s="31">
        <f>SUM(AB81:AK81)</f>
        <v>0.0</v>
      </c>
      <c r="E81" s="31">
        <f>C81-D81</f>
        <v>0.0</v>
      </c>
      <c r="F81" s="31">
        <f>SUM(R81:AA81)</f>
        <v>0.0</v>
      </c>
      <c r="G81" s="34" t="str">
        <f>IF(OR(A81="",$F$5&lt;=0),"",REPT("█",ROUND(20*F81/$F$5,0)))</f>
        <v/>
      </c>
      <c r="H81" s="31">
        <f>AL81+MIN(R80+AB81-AL81,MAX(0,ROUND(Долги!$D$19-SUM($AL81:$AU81),2)))</f>
        <v>0.0</v>
      </c>
      <c r="I81" s="31">
        <f>AM81+MIN(S80+AC81-AM81,MAX(0,ROUND(ROUND(Долги!$D$19-SUM($AL81:$AU81),2)-(SUM($H81:H81)-SUM($AL81:AL81)),2)))</f>
        <v>0.0</v>
      </c>
      <c r="J81" s="31">
        <f>AN81+MIN(T80+AD81-AN81,MAX(0,ROUND(ROUND(Долги!$D$19-SUM($AL81:$AU81),2)-(SUM($H81:I81)-SUM($AL81:AM81)),2)))</f>
        <v>0.0</v>
      </c>
      <c r="K81" s="31">
        <f>AO81+MIN(U80+AE81-AO81,MAX(0,ROUND(ROUND(Долги!$D$19-SUM($AL81:$AU81),2)-(SUM($H81:J81)-SUM($AL81:AN81)),2)))</f>
        <v>0.0</v>
      </c>
      <c r="L81" s="31">
        <f>AP81+MIN(V80+AF81-AP81,MAX(0,ROUND(ROUND(Долги!$D$19-SUM($AL81:$AU81),2)-(SUM($H81:K81)-SUM($AL81:AO81)),2)))</f>
        <v>0.0</v>
      </c>
      <c r="M81" s="31">
        <f>AQ81+MIN(W80+AG81-AQ81,MAX(0,ROUND(ROUND(Долги!$D$19-SUM($AL81:$AU81),2)-(SUM($H81:L81)-SUM($AL81:AP81)),2)))</f>
        <v>0.0</v>
      </c>
      <c r="N81" s="31">
        <f>AR81+MIN(X80+AH81-AR81,MAX(0,ROUND(ROUND(Долги!$D$19-SUM($AL81:$AU81),2)-(SUM($H81:M81)-SUM($AL81:AQ81)),2)))</f>
        <v>0.0</v>
      </c>
      <c r="O81" s="31">
        <f>AS81+MIN(Y80+AI81-AS81,MAX(0,ROUND(ROUND(Долги!$D$19-SUM($AL81:$AU81),2)-(SUM($H81:N81)-SUM($AL81:AR81)),2)))</f>
        <v>0.0</v>
      </c>
      <c r="P81" s="31">
        <f>AT81+MIN(Z80+AJ81-AT81,MAX(0,ROUND(ROUND(Долги!$D$19-SUM($AL81:$AU81),2)-(SUM($H81:O81)-SUM($AL81:AS81)),2)))</f>
        <v>0.0</v>
      </c>
      <c r="Q81" s="31">
        <f>AU81+MIN(AA80+AK81-AU81,MAX(0,ROUND(ROUND(Долги!$D$19-SUM($AL81:$AU81),2)-(SUM($H81:P81)-SUM($AL81:AT81)),2)))</f>
        <v>0.0</v>
      </c>
      <c r="R81" s="31">
        <f>IF(R80+AB81-H81&lt;=0.01,0,ROUND(R80+AB81-H81,2))</f>
        <v>0.0</v>
      </c>
      <c r="S81" s="31">
        <f>IF(S80+AC81-I81&lt;=0.01,0,ROUND(S80+AC81-I81,2))</f>
        <v>0.0</v>
      </c>
      <c r="T81" s="31">
        <f>IF(T80+AD81-J81&lt;=0.01,0,ROUND(T80+AD81-J81,2))</f>
        <v>0.0</v>
      </c>
      <c r="U81" s="31">
        <f>IF(U80+AE81-K81&lt;=0.01,0,ROUND(U80+AE81-K81,2))</f>
        <v>0.0</v>
      </c>
      <c r="V81" s="31">
        <f>IF(V80+AF81-L81&lt;=0.01,0,ROUND(V80+AF81-L81,2))</f>
        <v>0.0</v>
      </c>
      <c r="W81" s="31">
        <f>IF(W80+AG81-M81&lt;=0.01,0,ROUND(W80+AG81-M81,2))</f>
        <v>0.0</v>
      </c>
      <c r="X81" s="31">
        <f>IF(X80+AH81-N81&lt;=0.01,0,ROUND(X80+AH81-N81,2))</f>
        <v>0.0</v>
      </c>
      <c r="Y81" s="31">
        <f>IF(Y80+AI81-O81&lt;=0.01,0,ROUND(Y80+AI81-O81,2))</f>
        <v>0.0</v>
      </c>
      <c r="Z81" s="31">
        <f>IF(Z80+AJ81-P81&lt;=0.01,0,ROUND(Z80+AJ81-P81,2))</f>
        <v>0.0</v>
      </c>
      <c r="AA81" s="31">
        <f>IF(AA80+AK81-Q81&lt;=0.01,0,ROUND(AA80+AK81-Q81,2))</f>
        <v>0.0</v>
      </c>
      <c r="AB81" s="31">
        <f>ROUND(R80*AB$5/1200,2)</f>
        <v>0.0</v>
      </c>
      <c r="AC81" s="31">
        <f>ROUND(S80*AC$5/1200,2)</f>
        <v>0.0</v>
      </c>
      <c r="AD81" s="31">
        <f>ROUND(T80*AD$5/1200,2)</f>
        <v>0.0</v>
      </c>
      <c r="AE81" s="31">
        <f>ROUND(U80*AE$5/1200,2)</f>
        <v>0.0</v>
      </c>
      <c r="AF81" s="31">
        <f>ROUND(V80*AF$5/1200,2)</f>
        <v>0.0</v>
      </c>
      <c r="AG81" s="31">
        <f>ROUND(W80*AG$5/1200,2)</f>
        <v>0.0</v>
      </c>
      <c r="AH81" s="31">
        <f>ROUND(X80*AH$5/1200,2)</f>
        <v>0.0</v>
      </c>
      <c r="AI81" s="31">
        <f>ROUND(Y80*AI$5/1200,2)</f>
        <v>0.0</v>
      </c>
      <c r="AJ81" s="31">
        <f>ROUND(Z80*AJ$5/1200,2)</f>
        <v>0.0</v>
      </c>
      <c r="AK81" s="31">
        <f>ROUND(AA80*AK$5/1200,2)</f>
        <v>0.0</v>
      </c>
      <c r="AL81" s="31">
        <f>MIN(AL$5,R80+AB81)</f>
        <v>0.0</v>
      </c>
      <c r="AM81" s="31">
        <f>MIN(AM$5,S80+AC81)</f>
        <v>0.0</v>
      </c>
      <c r="AN81" s="31">
        <f>MIN(AN$5,T80+AD81)</f>
        <v>0.0</v>
      </c>
      <c r="AO81" s="31">
        <f>MIN(AO$5,U80+AE81)</f>
        <v>0.0</v>
      </c>
      <c r="AP81" s="31">
        <f>MIN(AP$5,V80+AF81)</f>
        <v>0.0</v>
      </c>
      <c r="AQ81" s="31">
        <f>MIN(AQ$5,W80+AG81)</f>
        <v>0.0</v>
      </c>
      <c r="AR81" s="31">
        <f>MIN(AR$5,X80+AH81)</f>
        <v>0.0</v>
      </c>
      <c r="AS81" s="31">
        <f>MIN(AS$5,Y80+AI81)</f>
        <v>0.0</v>
      </c>
      <c r="AT81" s="31">
        <f>MIN(AT$5,Z80+AJ81)</f>
        <v>0.0</v>
      </c>
      <c r="AU81" s="31">
        <f>MIN(AU$5,AA80+AK81)</f>
        <v>0.0</v>
      </c>
    </row>
    <row r="82">
      <c r="A82" s="25" t="str">
        <f>IF(F81&gt;0.005,77,"")</f>
        <v/>
      </c>
      <c r="B82" s="33" t="str">
        <f>IF(A82="","",EDATE(Долги!$D$5,76))</f>
        <v/>
      </c>
      <c r="C82" s="31">
        <f>SUM(H82:Q82)</f>
        <v>0.0</v>
      </c>
      <c r="D82" s="31">
        <f>SUM(AB82:AK82)</f>
        <v>0.0</v>
      </c>
      <c r="E82" s="31">
        <f>C82-D82</f>
        <v>0.0</v>
      </c>
      <c r="F82" s="31">
        <f>SUM(R82:AA82)</f>
        <v>0.0</v>
      </c>
      <c r="G82" s="34" t="str">
        <f>IF(OR(A82="",$F$5&lt;=0),"",REPT("█",ROUND(20*F82/$F$5,0)))</f>
        <v/>
      </c>
      <c r="H82" s="31">
        <f>AL82+MIN(R81+AB82-AL82,MAX(0,ROUND(Долги!$D$19-SUM($AL82:$AU82),2)))</f>
        <v>0.0</v>
      </c>
      <c r="I82" s="31">
        <f>AM82+MIN(S81+AC82-AM82,MAX(0,ROUND(ROUND(Долги!$D$19-SUM($AL82:$AU82),2)-(SUM($H82:H82)-SUM($AL82:AL82)),2)))</f>
        <v>0.0</v>
      </c>
      <c r="J82" s="31">
        <f>AN82+MIN(T81+AD82-AN82,MAX(0,ROUND(ROUND(Долги!$D$19-SUM($AL82:$AU82),2)-(SUM($H82:I82)-SUM($AL82:AM82)),2)))</f>
        <v>0.0</v>
      </c>
      <c r="K82" s="31">
        <f>AO82+MIN(U81+AE82-AO82,MAX(0,ROUND(ROUND(Долги!$D$19-SUM($AL82:$AU82),2)-(SUM($H82:J82)-SUM($AL82:AN82)),2)))</f>
        <v>0.0</v>
      </c>
      <c r="L82" s="31">
        <f>AP82+MIN(V81+AF82-AP82,MAX(0,ROUND(ROUND(Долги!$D$19-SUM($AL82:$AU82),2)-(SUM($H82:K82)-SUM($AL82:AO82)),2)))</f>
        <v>0.0</v>
      </c>
      <c r="M82" s="31">
        <f>AQ82+MIN(W81+AG82-AQ82,MAX(0,ROUND(ROUND(Долги!$D$19-SUM($AL82:$AU82),2)-(SUM($H82:L82)-SUM($AL82:AP82)),2)))</f>
        <v>0.0</v>
      </c>
      <c r="N82" s="31">
        <f>AR82+MIN(X81+AH82-AR82,MAX(0,ROUND(ROUND(Долги!$D$19-SUM($AL82:$AU82),2)-(SUM($H82:M82)-SUM($AL82:AQ82)),2)))</f>
        <v>0.0</v>
      </c>
      <c r="O82" s="31">
        <f>AS82+MIN(Y81+AI82-AS82,MAX(0,ROUND(ROUND(Долги!$D$19-SUM($AL82:$AU82),2)-(SUM($H82:N82)-SUM($AL82:AR82)),2)))</f>
        <v>0.0</v>
      </c>
      <c r="P82" s="31">
        <f>AT82+MIN(Z81+AJ82-AT82,MAX(0,ROUND(ROUND(Долги!$D$19-SUM($AL82:$AU82),2)-(SUM($H82:O82)-SUM($AL82:AS82)),2)))</f>
        <v>0.0</v>
      </c>
      <c r="Q82" s="31">
        <f>AU82+MIN(AA81+AK82-AU82,MAX(0,ROUND(ROUND(Долги!$D$19-SUM($AL82:$AU82),2)-(SUM($H82:P82)-SUM($AL82:AT82)),2)))</f>
        <v>0.0</v>
      </c>
      <c r="R82" s="31">
        <f>IF(R81+AB82-H82&lt;=0.01,0,ROUND(R81+AB82-H82,2))</f>
        <v>0.0</v>
      </c>
      <c r="S82" s="31">
        <f>IF(S81+AC82-I82&lt;=0.01,0,ROUND(S81+AC82-I82,2))</f>
        <v>0.0</v>
      </c>
      <c r="T82" s="31">
        <f>IF(T81+AD82-J82&lt;=0.01,0,ROUND(T81+AD82-J82,2))</f>
        <v>0.0</v>
      </c>
      <c r="U82" s="31">
        <f>IF(U81+AE82-K82&lt;=0.01,0,ROUND(U81+AE82-K82,2))</f>
        <v>0.0</v>
      </c>
      <c r="V82" s="31">
        <f>IF(V81+AF82-L82&lt;=0.01,0,ROUND(V81+AF82-L82,2))</f>
        <v>0.0</v>
      </c>
      <c r="W82" s="31">
        <f>IF(W81+AG82-M82&lt;=0.01,0,ROUND(W81+AG82-M82,2))</f>
        <v>0.0</v>
      </c>
      <c r="X82" s="31">
        <f>IF(X81+AH82-N82&lt;=0.01,0,ROUND(X81+AH82-N82,2))</f>
        <v>0.0</v>
      </c>
      <c r="Y82" s="31">
        <f>IF(Y81+AI82-O82&lt;=0.01,0,ROUND(Y81+AI82-O82,2))</f>
        <v>0.0</v>
      </c>
      <c r="Z82" s="31">
        <f>IF(Z81+AJ82-P82&lt;=0.01,0,ROUND(Z81+AJ82-P82,2))</f>
        <v>0.0</v>
      </c>
      <c r="AA82" s="31">
        <f>IF(AA81+AK82-Q82&lt;=0.01,0,ROUND(AA81+AK82-Q82,2))</f>
        <v>0.0</v>
      </c>
      <c r="AB82" s="31">
        <f>ROUND(R81*AB$5/1200,2)</f>
        <v>0.0</v>
      </c>
      <c r="AC82" s="31">
        <f>ROUND(S81*AC$5/1200,2)</f>
        <v>0.0</v>
      </c>
      <c r="AD82" s="31">
        <f>ROUND(T81*AD$5/1200,2)</f>
        <v>0.0</v>
      </c>
      <c r="AE82" s="31">
        <f>ROUND(U81*AE$5/1200,2)</f>
        <v>0.0</v>
      </c>
      <c r="AF82" s="31">
        <f>ROUND(V81*AF$5/1200,2)</f>
        <v>0.0</v>
      </c>
      <c r="AG82" s="31">
        <f>ROUND(W81*AG$5/1200,2)</f>
        <v>0.0</v>
      </c>
      <c r="AH82" s="31">
        <f>ROUND(X81*AH$5/1200,2)</f>
        <v>0.0</v>
      </c>
      <c r="AI82" s="31">
        <f>ROUND(Y81*AI$5/1200,2)</f>
        <v>0.0</v>
      </c>
      <c r="AJ82" s="31">
        <f>ROUND(Z81*AJ$5/1200,2)</f>
        <v>0.0</v>
      </c>
      <c r="AK82" s="31">
        <f>ROUND(AA81*AK$5/1200,2)</f>
        <v>0.0</v>
      </c>
      <c r="AL82" s="31">
        <f>MIN(AL$5,R81+AB82)</f>
        <v>0.0</v>
      </c>
      <c r="AM82" s="31">
        <f>MIN(AM$5,S81+AC82)</f>
        <v>0.0</v>
      </c>
      <c r="AN82" s="31">
        <f>MIN(AN$5,T81+AD82)</f>
        <v>0.0</v>
      </c>
      <c r="AO82" s="31">
        <f>MIN(AO$5,U81+AE82)</f>
        <v>0.0</v>
      </c>
      <c r="AP82" s="31">
        <f>MIN(AP$5,V81+AF82)</f>
        <v>0.0</v>
      </c>
      <c r="AQ82" s="31">
        <f>MIN(AQ$5,W81+AG82)</f>
        <v>0.0</v>
      </c>
      <c r="AR82" s="31">
        <f>MIN(AR$5,X81+AH82)</f>
        <v>0.0</v>
      </c>
      <c r="AS82" s="31">
        <f>MIN(AS$5,Y81+AI82)</f>
        <v>0.0</v>
      </c>
      <c r="AT82" s="31">
        <f>MIN(AT$5,Z81+AJ82)</f>
        <v>0.0</v>
      </c>
      <c r="AU82" s="31">
        <f>MIN(AU$5,AA81+AK82)</f>
        <v>0.0</v>
      </c>
    </row>
    <row r="83">
      <c r="A83" s="25" t="str">
        <f>IF(F82&gt;0.005,78,"")</f>
        <v/>
      </c>
      <c r="B83" s="33" t="str">
        <f>IF(A83="","",EDATE(Долги!$D$5,77))</f>
        <v/>
      </c>
      <c r="C83" s="31">
        <f>SUM(H83:Q83)</f>
        <v>0.0</v>
      </c>
      <c r="D83" s="31">
        <f>SUM(AB83:AK83)</f>
        <v>0.0</v>
      </c>
      <c r="E83" s="31">
        <f>C83-D83</f>
        <v>0.0</v>
      </c>
      <c r="F83" s="31">
        <f>SUM(R83:AA83)</f>
        <v>0.0</v>
      </c>
      <c r="G83" s="34" t="str">
        <f>IF(OR(A83="",$F$5&lt;=0),"",REPT("█",ROUND(20*F83/$F$5,0)))</f>
        <v/>
      </c>
      <c r="H83" s="31">
        <f>AL83+MIN(R82+AB83-AL83,MAX(0,ROUND(Долги!$D$19-SUM($AL83:$AU83),2)))</f>
        <v>0.0</v>
      </c>
      <c r="I83" s="31">
        <f>AM83+MIN(S82+AC83-AM83,MAX(0,ROUND(ROUND(Долги!$D$19-SUM($AL83:$AU83),2)-(SUM($H83:H83)-SUM($AL83:AL83)),2)))</f>
        <v>0.0</v>
      </c>
      <c r="J83" s="31">
        <f>AN83+MIN(T82+AD83-AN83,MAX(0,ROUND(ROUND(Долги!$D$19-SUM($AL83:$AU83),2)-(SUM($H83:I83)-SUM($AL83:AM83)),2)))</f>
        <v>0.0</v>
      </c>
      <c r="K83" s="31">
        <f>AO83+MIN(U82+AE83-AO83,MAX(0,ROUND(ROUND(Долги!$D$19-SUM($AL83:$AU83),2)-(SUM($H83:J83)-SUM($AL83:AN83)),2)))</f>
        <v>0.0</v>
      </c>
      <c r="L83" s="31">
        <f>AP83+MIN(V82+AF83-AP83,MAX(0,ROUND(ROUND(Долги!$D$19-SUM($AL83:$AU83),2)-(SUM($H83:K83)-SUM($AL83:AO83)),2)))</f>
        <v>0.0</v>
      </c>
      <c r="M83" s="31">
        <f>AQ83+MIN(W82+AG83-AQ83,MAX(0,ROUND(ROUND(Долги!$D$19-SUM($AL83:$AU83),2)-(SUM($H83:L83)-SUM($AL83:AP83)),2)))</f>
        <v>0.0</v>
      </c>
      <c r="N83" s="31">
        <f>AR83+MIN(X82+AH83-AR83,MAX(0,ROUND(ROUND(Долги!$D$19-SUM($AL83:$AU83),2)-(SUM($H83:M83)-SUM($AL83:AQ83)),2)))</f>
        <v>0.0</v>
      </c>
      <c r="O83" s="31">
        <f>AS83+MIN(Y82+AI83-AS83,MAX(0,ROUND(ROUND(Долги!$D$19-SUM($AL83:$AU83),2)-(SUM($H83:N83)-SUM($AL83:AR83)),2)))</f>
        <v>0.0</v>
      </c>
      <c r="P83" s="31">
        <f>AT83+MIN(Z82+AJ83-AT83,MAX(0,ROUND(ROUND(Долги!$D$19-SUM($AL83:$AU83),2)-(SUM($H83:O83)-SUM($AL83:AS83)),2)))</f>
        <v>0.0</v>
      </c>
      <c r="Q83" s="31">
        <f>AU83+MIN(AA82+AK83-AU83,MAX(0,ROUND(ROUND(Долги!$D$19-SUM($AL83:$AU83),2)-(SUM($H83:P83)-SUM($AL83:AT83)),2)))</f>
        <v>0.0</v>
      </c>
      <c r="R83" s="31">
        <f>IF(R82+AB83-H83&lt;=0.01,0,ROUND(R82+AB83-H83,2))</f>
        <v>0.0</v>
      </c>
      <c r="S83" s="31">
        <f>IF(S82+AC83-I83&lt;=0.01,0,ROUND(S82+AC83-I83,2))</f>
        <v>0.0</v>
      </c>
      <c r="T83" s="31">
        <f>IF(T82+AD83-J83&lt;=0.01,0,ROUND(T82+AD83-J83,2))</f>
        <v>0.0</v>
      </c>
      <c r="U83" s="31">
        <f>IF(U82+AE83-K83&lt;=0.01,0,ROUND(U82+AE83-K83,2))</f>
        <v>0.0</v>
      </c>
      <c r="V83" s="31">
        <f>IF(V82+AF83-L83&lt;=0.01,0,ROUND(V82+AF83-L83,2))</f>
        <v>0.0</v>
      </c>
      <c r="W83" s="31">
        <f>IF(W82+AG83-M83&lt;=0.01,0,ROUND(W82+AG83-M83,2))</f>
        <v>0.0</v>
      </c>
      <c r="X83" s="31">
        <f>IF(X82+AH83-N83&lt;=0.01,0,ROUND(X82+AH83-N83,2))</f>
        <v>0.0</v>
      </c>
      <c r="Y83" s="31">
        <f>IF(Y82+AI83-O83&lt;=0.01,0,ROUND(Y82+AI83-O83,2))</f>
        <v>0.0</v>
      </c>
      <c r="Z83" s="31">
        <f>IF(Z82+AJ83-P83&lt;=0.01,0,ROUND(Z82+AJ83-P83,2))</f>
        <v>0.0</v>
      </c>
      <c r="AA83" s="31">
        <f>IF(AA82+AK83-Q83&lt;=0.01,0,ROUND(AA82+AK83-Q83,2))</f>
        <v>0.0</v>
      </c>
      <c r="AB83" s="31">
        <f>ROUND(R82*AB$5/1200,2)</f>
        <v>0.0</v>
      </c>
      <c r="AC83" s="31">
        <f>ROUND(S82*AC$5/1200,2)</f>
        <v>0.0</v>
      </c>
      <c r="AD83" s="31">
        <f>ROUND(T82*AD$5/1200,2)</f>
        <v>0.0</v>
      </c>
      <c r="AE83" s="31">
        <f>ROUND(U82*AE$5/1200,2)</f>
        <v>0.0</v>
      </c>
      <c r="AF83" s="31">
        <f>ROUND(V82*AF$5/1200,2)</f>
        <v>0.0</v>
      </c>
      <c r="AG83" s="31">
        <f>ROUND(W82*AG$5/1200,2)</f>
        <v>0.0</v>
      </c>
      <c r="AH83" s="31">
        <f>ROUND(X82*AH$5/1200,2)</f>
        <v>0.0</v>
      </c>
      <c r="AI83" s="31">
        <f>ROUND(Y82*AI$5/1200,2)</f>
        <v>0.0</v>
      </c>
      <c r="AJ83" s="31">
        <f>ROUND(Z82*AJ$5/1200,2)</f>
        <v>0.0</v>
      </c>
      <c r="AK83" s="31">
        <f>ROUND(AA82*AK$5/1200,2)</f>
        <v>0.0</v>
      </c>
      <c r="AL83" s="31">
        <f>MIN(AL$5,R82+AB83)</f>
        <v>0.0</v>
      </c>
      <c r="AM83" s="31">
        <f>MIN(AM$5,S82+AC83)</f>
        <v>0.0</v>
      </c>
      <c r="AN83" s="31">
        <f>MIN(AN$5,T82+AD83)</f>
        <v>0.0</v>
      </c>
      <c r="AO83" s="31">
        <f>MIN(AO$5,U82+AE83)</f>
        <v>0.0</v>
      </c>
      <c r="AP83" s="31">
        <f>MIN(AP$5,V82+AF83)</f>
        <v>0.0</v>
      </c>
      <c r="AQ83" s="31">
        <f>MIN(AQ$5,W82+AG83)</f>
        <v>0.0</v>
      </c>
      <c r="AR83" s="31">
        <f>MIN(AR$5,X82+AH83)</f>
        <v>0.0</v>
      </c>
      <c r="AS83" s="31">
        <f>MIN(AS$5,Y82+AI83)</f>
        <v>0.0</v>
      </c>
      <c r="AT83" s="31">
        <f>MIN(AT$5,Z82+AJ83)</f>
        <v>0.0</v>
      </c>
      <c r="AU83" s="31">
        <f>MIN(AU$5,AA82+AK83)</f>
        <v>0.0</v>
      </c>
    </row>
    <row r="84">
      <c r="A84" s="25" t="str">
        <f>IF(F83&gt;0.005,79,"")</f>
        <v/>
      </c>
      <c r="B84" s="33" t="str">
        <f>IF(A84="","",EDATE(Долги!$D$5,78))</f>
        <v/>
      </c>
      <c r="C84" s="31">
        <f>SUM(H84:Q84)</f>
        <v>0.0</v>
      </c>
      <c r="D84" s="31">
        <f>SUM(AB84:AK84)</f>
        <v>0.0</v>
      </c>
      <c r="E84" s="31">
        <f>C84-D84</f>
        <v>0.0</v>
      </c>
      <c r="F84" s="31">
        <f>SUM(R84:AA84)</f>
        <v>0.0</v>
      </c>
      <c r="G84" s="34" t="str">
        <f>IF(OR(A84="",$F$5&lt;=0),"",REPT("█",ROUND(20*F84/$F$5,0)))</f>
        <v/>
      </c>
      <c r="H84" s="31">
        <f>AL84+MIN(R83+AB84-AL84,MAX(0,ROUND(Долги!$D$19-SUM($AL84:$AU84),2)))</f>
        <v>0.0</v>
      </c>
      <c r="I84" s="31">
        <f>AM84+MIN(S83+AC84-AM84,MAX(0,ROUND(ROUND(Долги!$D$19-SUM($AL84:$AU84),2)-(SUM($H84:H84)-SUM($AL84:AL84)),2)))</f>
        <v>0.0</v>
      </c>
      <c r="J84" s="31">
        <f>AN84+MIN(T83+AD84-AN84,MAX(0,ROUND(ROUND(Долги!$D$19-SUM($AL84:$AU84),2)-(SUM($H84:I84)-SUM($AL84:AM84)),2)))</f>
        <v>0.0</v>
      </c>
      <c r="K84" s="31">
        <f>AO84+MIN(U83+AE84-AO84,MAX(0,ROUND(ROUND(Долги!$D$19-SUM($AL84:$AU84),2)-(SUM($H84:J84)-SUM($AL84:AN84)),2)))</f>
        <v>0.0</v>
      </c>
      <c r="L84" s="31">
        <f>AP84+MIN(V83+AF84-AP84,MAX(0,ROUND(ROUND(Долги!$D$19-SUM($AL84:$AU84),2)-(SUM($H84:K84)-SUM($AL84:AO84)),2)))</f>
        <v>0.0</v>
      </c>
      <c r="M84" s="31">
        <f>AQ84+MIN(W83+AG84-AQ84,MAX(0,ROUND(ROUND(Долги!$D$19-SUM($AL84:$AU84),2)-(SUM($H84:L84)-SUM($AL84:AP84)),2)))</f>
        <v>0.0</v>
      </c>
      <c r="N84" s="31">
        <f>AR84+MIN(X83+AH84-AR84,MAX(0,ROUND(ROUND(Долги!$D$19-SUM($AL84:$AU84),2)-(SUM($H84:M84)-SUM($AL84:AQ84)),2)))</f>
        <v>0.0</v>
      </c>
      <c r="O84" s="31">
        <f>AS84+MIN(Y83+AI84-AS84,MAX(0,ROUND(ROUND(Долги!$D$19-SUM($AL84:$AU84),2)-(SUM($H84:N84)-SUM($AL84:AR84)),2)))</f>
        <v>0.0</v>
      </c>
      <c r="P84" s="31">
        <f>AT84+MIN(Z83+AJ84-AT84,MAX(0,ROUND(ROUND(Долги!$D$19-SUM($AL84:$AU84),2)-(SUM($H84:O84)-SUM($AL84:AS84)),2)))</f>
        <v>0.0</v>
      </c>
      <c r="Q84" s="31">
        <f>AU84+MIN(AA83+AK84-AU84,MAX(0,ROUND(ROUND(Долги!$D$19-SUM($AL84:$AU84),2)-(SUM($H84:P84)-SUM($AL84:AT84)),2)))</f>
        <v>0.0</v>
      </c>
      <c r="R84" s="31">
        <f>IF(R83+AB84-H84&lt;=0.01,0,ROUND(R83+AB84-H84,2))</f>
        <v>0.0</v>
      </c>
      <c r="S84" s="31">
        <f>IF(S83+AC84-I84&lt;=0.01,0,ROUND(S83+AC84-I84,2))</f>
        <v>0.0</v>
      </c>
      <c r="T84" s="31">
        <f>IF(T83+AD84-J84&lt;=0.01,0,ROUND(T83+AD84-J84,2))</f>
        <v>0.0</v>
      </c>
      <c r="U84" s="31">
        <f>IF(U83+AE84-K84&lt;=0.01,0,ROUND(U83+AE84-K84,2))</f>
        <v>0.0</v>
      </c>
      <c r="V84" s="31">
        <f>IF(V83+AF84-L84&lt;=0.01,0,ROUND(V83+AF84-L84,2))</f>
        <v>0.0</v>
      </c>
      <c r="W84" s="31">
        <f>IF(W83+AG84-M84&lt;=0.01,0,ROUND(W83+AG84-M84,2))</f>
        <v>0.0</v>
      </c>
      <c r="X84" s="31">
        <f>IF(X83+AH84-N84&lt;=0.01,0,ROUND(X83+AH84-N84,2))</f>
        <v>0.0</v>
      </c>
      <c r="Y84" s="31">
        <f>IF(Y83+AI84-O84&lt;=0.01,0,ROUND(Y83+AI84-O84,2))</f>
        <v>0.0</v>
      </c>
      <c r="Z84" s="31">
        <f>IF(Z83+AJ84-P84&lt;=0.01,0,ROUND(Z83+AJ84-P84,2))</f>
        <v>0.0</v>
      </c>
      <c r="AA84" s="31">
        <f>IF(AA83+AK84-Q84&lt;=0.01,0,ROUND(AA83+AK84-Q84,2))</f>
        <v>0.0</v>
      </c>
      <c r="AB84" s="31">
        <f>ROUND(R83*AB$5/1200,2)</f>
        <v>0.0</v>
      </c>
      <c r="AC84" s="31">
        <f>ROUND(S83*AC$5/1200,2)</f>
        <v>0.0</v>
      </c>
      <c r="AD84" s="31">
        <f>ROUND(T83*AD$5/1200,2)</f>
        <v>0.0</v>
      </c>
      <c r="AE84" s="31">
        <f>ROUND(U83*AE$5/1200,2)</f>
        <v>0.0</v>
      </c>
      <c r="AF84" s="31">
        <f>ROUND(V83*AF$5/1200,2)</f>
        <v>0.0</v>
      </c>
      <c r="AG84" s="31">
        <f>ROUND(W83*AG$5/1200,2)</f>
        <v>0.0</v>
      </c>
      <c r="AH84" s="31">
        <f>ROUND(X83*AH$5/1200,2)</f>
        <v>0.0</v>
      </c>
      <c r="AI84" s="31">
        <f>ROUND(Y83*AI$5/1200,2)</f>
        <v>0.0</v>
      </c>
      <c r="AJ84" s="31">
        <f>ROUND(Z83*AJ$5/1200,2)</f>
        <v>0.0</v>
      </c>
      <c r="AK84" s="31">
        <f>ROUND(AA83*AK$5/1200,2)</f>
        <v>0.0</v>
      </c>
      <c r="AL84" s="31">
        <f>MIN(AL$5,R83+AB84)</f>
        <v>0.0</v>
      </c>
      <c r="AM84" s="31">
        <f>MIN(AM$5,S83+AC84)</f>
        <v>0.0</v>
      </c>
      <c r="AN84" s="31">
        <f>MIN(AN$5,T83+AD84)</f>
        <v>0.0</v>
      </c>
      <c r="AO84" s="31">
        <f>MIN(AO$5,U83+AE84)</f>
        <v>0.0</v>
      </c>
      <c r="AP84" s="31">
        <f>MIN(AP$5,V83+AF84)</f>
        <v>0.0</v>
      </c>
      <c r="AQ84" s="31">
        <f>MIN(AQ$5,W83+AG84)</f>
        <v>0.0</v>
      </c>
      <c r="AR84" s="31">
        <f>MIN(AR$5,X83+AH84)</f>
        <v>0.0</v>
      </c>
      <c r="AS84" s="31">
        <f>MIN(AS$5,Y83+AI84)</f>
        <v>0.0</v>
      </c>
      <c r="AT84" s="31">
        <f>MIN(AT$5,Z83+AJ84)</f>
        <v>0.0</v>
      </c>
      <c r="AU84" s="31">
        <f>MIN(AU$5,AA83+AK84)</f>
        <v>0.0</v>
      </c>
    </row>
    <row r="85">
      <c r="A85" s="25" t="str">
        <f>IF(F84&gt;0.005,80,"")</f>
        <v/>
      </c>
      <c r="B85" s="33" t="str">
        <f>IF(A85="","",EDATE(Долги!$D$5,79))</f>
        <v/>
      </c>
      <c r="C85" s="31">
        <f>SUM(H85:Q85)</f>
        <v>0.0</v>
      </c>
      <c r="D85" s="31">
        <f>SUM(AB85:AK85)</f>
        <v>0.0</v>
      </c>
      <c r="E85" s="31">
        <f>C85-D85</f>
        <v>0.0</v>
      </c>
      <c r="F85" s="31">
        <f>SUM(R85:AA85)</f>
        <v>0.0</v>
      </c>
      <c r="G85" s="34" t="str">
        <f>IF(OR(A85="",$F$5&lt;=0),"",REPT("█",ROUND(20*F85/$F$5,0)))</f>
        <v/>
      </c>
      <c r="H85" s="31">
        <f>AL85+MIN(R84+AB85-AL85,MAX(0,ROUND(Долги!$D$19-SUM($AL85:$AU85),2)))</f>
        <v>0.0</v>
      </c>
      <c r="I85" s="31">
        <f>AM85+MIN(S84+AC85-AM85,MAX(0,ROUND(ROUND(Долги!$D$19-SUM($AL85:$AU85),2)-(SUM($H85:H85)-SUM($AL85:AL85)),2)))</f>
        <v>0.0</v>
      </c>
      <c r="J85" s="31">
        <f>AN85+MIN(T84+AD85-AN85,MAX(0,ROUND(ROUND(Долги!$D$19-SUM($AL85:$AU85),2)-(SUM($H85:I85)-SUM($AL85:AM85)),2)))</f>
        <v>0.0</v>
      </c>
      <c r="K85" s="31">
        <f>AO85+MIN(U84+AE85-AO85,MAX(0,ROUND(ROUND(Долги!$D$19-SUM($AL85:$AU85),2)-(SUM($H85:J85)-SUM($AL85:AN85)),2)))</f>
        <v>0.0</v>
      </c>
      <c r="L85" s="31">
        <f>AP85+MIN(V84+AF85-AP85,MAX(0,ROUND(ROUND(Долги!$D$19-SUM($AL85:$AU85),2)-(SUM($H85:K85)-SUM($AL85:AO85)),2)))</f>
        <v>0.0</v>
      </c>
      <c r="M85" s="31">
        <f>AQ85+MIN(W84+AG85-AQ85,MAX(0,ROUND(ROUND(Долги!$D$19-SUM($AL85:$AU85),2)-(SUM($H85:L85)-SUM($AL85:AP85)),2)))</f>
        <v>0.0</v>
      </c>
      <c r="N85" s="31">
        <f>AR85+MIN(X84+AH85-AR85,MAX(0,ROUND(ROUND(Долги!$D$19-SUM($AL85:$AU85),2)-(SUM($H85:M85)-SUM($AL85:AQ85)),2)))</f>
        <v>0.0</v>
      </c>
      <c r="O85" s="31">
        <f>AS85+MIN(Y84+AI85-AS85,MAX(0,ROUND(ROUND(Долги!$D$19-SUM($AL85:$AU85),2)-(SUM($H85:N85)-SUM($AL85:AR85)),2)))</f>
        <v>0.0</v>
      </c>
      <c r="P85" s="31">
        <f>AT85+MIN(Z84+AJ85-AT85,MAX(0,ROUND(ROUND(Долги!$D$19-SUM($AL85:$AU85),2)-(SUM($H85:O85)-SUM($AL85:AS85)),2)))</f>
        <v>0.0</v>
      </c>
      <c r="Q85" s="31">
        <f>AU85+MIN(AA84+AK85-AU85,MAX(0,ROUND(ROUND(Долги!$D$19-SUM($AL85:$AU85),2)-(SUM($H85:P85)-SUM($AL85:AT85)),2)))</f>
        <v>0.0</v>
      </c>
      <c r="R85" s="31">
        <f>IF(R84+AB85-H85&lt;=0.01,0,ROUND(R84+AB85-H85,2))</f>
        <v>0.0</v>
      </c>
      <c r="S85" s="31">
        <f>IF(S84+AC85-I85&lt;=0.01,0,ROUND(S84+AC85-I85,2))</f>
        <v>0.0</v>
      </c>
      <c r="T85" s="31">
        <f>IF(T84+AD85-J85&lt;=0.01,0,ROUND(T84+AD85-J85,2))</f>
        <v>0.0</v>
      </c>
      <c r="U85" s="31">
        <f>IF(U84+AE85-K85&lt;=0.01,0,ROUND(U84+AE85-K85,2))</f>
        <v>0.0</v>
      </c>
      <c r="V85" s="31">
        <f>IF(V84+AF85-L85&lt;=0.01,0,ROUND(V84+AF85-L85,2))</f>
        <v>0.0</v>
      </c>
      <c r="W85" s="31">
        <f>IF(W84+AG85-M85&lt;=0.01,0,ROUND(W84+AG85-M85,2))</f>
        <v>0.0</v>
      </c>
      <c r="X85" s="31">
        <f>IF(X84+AH85-N85&lt;=0.01,0,ROUND(X84+AH85-N85,2))</f>
        <v>0.0</v>
      </c>
      <c r="Y85" s="31">
        <f>IF(Y84+AI85-O85&lt;=0.01,0,ROUND(Y84+AI85-O85,2))</f>
        <v>0.0</v>
      </c>
      <c r="Z85" s="31">
        <f>IF(Z84+AJ85-P85&lt;=0.01,0,ROUND(Z84+AJ85-P85,2))</f>
        <v>0.0</v>
      </c>
      <c r="AA85" s="31">
        <f>IF(AA84+AK85-Q85&lt;=0.01,0,ROUND(AA84+AK85-Q85,2))</f>
        <v>0.0</v>
      </c>
      <c r="AB85" s="31">
        <f>ROUND(R84*AB$5/1200,2)</f>
        <v>0.0</v>
      </c>
      <c r="AC85" s="31">
        <f>ROUND(S84*AC$5/1200,2)</f>
        <v>0.0</v>
      </c>
      <c r="AD85" s="31">
        <f>ROUND(T84*AD$5/1200,2)</f>
        <v>0.0</v>
      </c>
      <c r="AE85" s="31">
        <f>ROUND(U84*AE$5/1200,2)</f>
        <v>0.0</v>
      </c>
      <c r="AF85" s="31">
        <f>ROUND(V84*AF$5/1200,2)</f>
        <v>0.0</v>
      </c>
      <c r="AG85" s="31">
        <f>ROUND(W84*AG$5/1200,2)</f>
        <v>0.0</v>
      </c>
      <c r="AH85" s="31">
        <f>ROUND(X84*AH$5/1200,2)</f>
        <v>0.0</v>
      </c>
      <c r="AI85" s="31">
        <f>ROUND(Y84*AI$5/1200,2)</f>
        <v>0.0</v>
      </c>
      <c r="AJ85" s="31">
        <f>ROUND(Z84*AJ$5/1200,2)</f>
        <v>0.0</v>
      </c>
      <c r="AK85" s="31">
        <f>ROUND(AA84*AK$5/1200,2)</f>
        <v>0.0</v>
      </c>
      <c r="AL85" s="31">
        <f>MIN(AL$5,R84+AB85)</f>
        <v>0.0</v>
      </c>
      <c r="AM85" s="31">
        <f>MIN(AM$5,S84+AC85)</f>
        <v>0.0</v>
      </c>
      <c r="AN85" s="31">
        <f>MIN(AN$5,T84+AD85)</f>
        <v>0.0</v>
      </c>
      <c r="AO85" s="31">
        <f>MIN(AO$5,U84+AE85)</f>
        <v>0.0</v>
      </c>
      <c r="AP85" s="31">
        <f>MIN(AP$5,V84+AF85)</f>
        <v>0.0</v>
      </c>
      <c r="AQ85" s="31">
        <f>MIN(AQ$5,W84+AG85)</f>
        <v>0.0</v>
      </c>
      <c r="AR85" s="31">
        <f>MIN(AR$5,X84+AH85)</f>
        <v>0.0</v>
      </c>
      <c r="AS85" s="31">
        <f>MIN(AS$5,Y84+AI85)</f>
        <v>0.0</v>
      </c>
      <c r="AT85" s="31">
        <f>MIN(AT$5,Z84+AJ85)</f>
        <v>0.0</v>
      </c>
      <c r="AU85" s="31">
        <f>MIN(AU$5,AA84+AK85)</f>
        <v>0.0</v>
      </c>
    </row>
    <row r="86">
      <c r="A86" s="25" t="str">
        <f>IF(F85&gt;0.005,81,"")</f>
        <v/>
      </c>
      <c r="B86" s="33" t="str">
        <f>IF(A86="","",EDATE(Долги!$D$5,80))</f>
        <v/>
      </c>
      <c r="C86" s="31">
        <f>SUM(H86:Q86)</f>
        <v>0.0</v>
      </c>
      <c r="D86" s="31">
        <f>SUM(AB86:AK86)</f>
        <v>0.0</v>
      </c>
      <c r="E86" s="31">
        <f>C86-D86</f>
        <v>0.0</v>
      </c>
      <c r="F86" s="31">
        <f>SUM(R86:AA86)</f>
        <v>0.0</v>
      </c>
      <c r="G86" s="34" t="str">
        <f>IF(OR(A86="",$F$5&lt;=0),"",REPT("█",ROUND(20*F86/$F$5,0)))</f>
        <v/>
      </c>
      <c r="H86" s="31">
        <f>AL86+MIN(R85+AB86-AL86,MAX(0,ROUND(Долги!$D$19-SUM($AL86:$AU86),2)))</f>
        <v>0.0</v>
      </c>
      <c r="I86" s="31">
        <f>AM86+MIN(S85+AC86-AM86,MAX(0,ROUND(ROUND(Долги!$D$19-SUM($AL86:$AU86),2)-(SUM($H86:H86)-SUM($AL86:AL86)),2)))</f>
        <v>0.0</v>
      </c>
      <c r="J86" s="31">
        <f>AN86+MIN(T85+AD86-AN86,MAX(0,ROUND(ROUND(Долги!$D$19-SUM($AL86:$AU86),2)-(SUM($H86:I86)-SUM($AL86:AM86)),2)))</f>
        <v>0.0</v>
      </c>
      <c r="K86" s="31">
        <f>AO86+MIN(U85+AE86-AO86,MAX(0,ROUND(ROUND(Долги!$D$19-SUM($AL86:$AU86),2)-(SUM($H86:J86)-SUM($AL86:AN86)),2)))</f>
        <v>0.0</v>
      </c>
      <c r="L86" s="31">
        <f>AP86+MIN(V85+AF86-AP86,MAX(0,ROUND(ROUND(Долги!$D$19-SUM($AL86:$AU86),2)-(SUM($H86:K86)-SUM($AL86:AO86)),2)))</f>
        <v>0.0</v>
      </c>
      <c r="M86" s="31">
        <f>AQ86+MIN(W85+AG86-AQ86,MAX(0,ROUND(ROUND(Долги!$D$19-SUM($AL86:$AU86),2)-(SUM($H86:L86)-SUM($AL86:AP86)),2)))</f>
        <v>0.0</v>
      </c>
      <c r="N86" s="31">
        <f>AR86+MIN(X85+AH86-AR86,MAX(0,ROUND(ROUND(Долги!$D$19-SUM($AL86:$AU86),2)-(SUM($H86:M86)-SUM($AL86:AQ86)),2)))</f>
        <v>0.0</v>
      </c>
      <c r="O86" s="31">
        <f>AS86+MIN(Y85+AI86-AS86,MAX(0,ROUND(ROUND(Долги!$D$19-SUM($AL86:$AU86),2)-(SUM($H86:N86)-SUM($AL86:AR86)),2)))</f>
        <v>0.0</v>
      </c>
      <c r="P86" s="31">
        <f>AT86+MIN(Z85+AJ86-AT86,MAX(0,ROUND(ROUND(Долги!$D$19-SUM($AL86:$AU86),2)-(SUM($H86:O86)-SUM($AL86:AS86)),2)))</f>
        <v>0.0</v>
      </c>
      <c r="Q86" s="31">
        <f>AU86+MIN(AA85+AK86-AU86,MAX(0,ROUND(ROUND(Долги!$D$19-SUM($AL86:$AU86),2)-(SUM($H86:P86)-SUM($AL86:AT86)),2)))</f>
        <v>0.0</v>
      </c>
      <c r="R86" s="31">
        <f>IF(R85+AB86-H86&lt;=0.01,0,ROUND(R85+AB86-H86,2))</f>
        <v>0.0</v>
      </c>
      <c r="S86" s="31">
        <f>IF(S85+AC86-I86&lt;=0.01,0,ROUND(S85+AC86-I86,2))</f>
        <v>0.0</v>
      </c>
      <c r="T86" s="31">
        <f>IF(T85+AD86-J86&lt;=0.01,0,ROUND(T85+AD86-J86,2))</f>
        <v>0.0</v>
      </c>
      <c r="U86" s="31">
        <f>IF(U85+AE86-K86&lt;=0.01,0,ROUND(U85+AE86-K86,2))</f>
        <v>0.0</v>
      </c>
      <c r="V86" s="31">
        <f>IF(V85+AF86-L86&lt;=0.01,0,ROUND(V85+AF86-L86,2))</f>
        <v>0.0</v>
      </c>
      <c r="W86" s="31">
        <f>IF(W85+AG86-M86&lt;=0.01,0,ROUND(W85+AG86-M86,2))</f>
        <v>0.0</v>
      </c>
      <c r="X86" s="31">
        <f>IF(X85+AH86-N86&lt;=0.01,0,ROUND(X85+AH86-N86,2))</f>
        <v>0.0</v>
      </c>
      <c r="Y86" s="31">
        <f>IF(Y85+AI86-O86&lt;=0.01,0,ROUND(Y85+AI86-O86,2))</f>
        <v>0.0</v>
      </c>
      <c r="Z86" s="31">
        <f>IF(Z85+AJ86-P86&lt;=0.01,0,ROUND(Z85+AJ86-P86,2))</f>
        <v>0.0</v>
      </c>
      <c r="AA86" s="31">
        <f>IF(AA85+AK86-Q86&lt;=0.01,0,ROUND(AA85+AK86-Q86,2))</f>
        <v>0.0</v>
      </c>
      <c r="AB86" s="31">
        <f>ROUND(R85*AB$5/1200,2)</f>
        <v>0.0</v>
      </c>
      <c r="AC86" s="31">
        <f>ROUND(S85*AC$5/1200,2)</f>
        <v>0.0</v>
      </c>
      <c r="AD86" s="31">
        <f>ROUND(T85*AD$5/1200,2)</f>
        <v>0.0</v>
      </c>
      <c r="AE86" s="31">
        <f>ROUND(U85*AE$5/1200,2)</f>
        <v>0.0</v>
      </c>
      <c r="AF86" s="31">
        <f>ROUND(V85*AF$5/1200,2)</f>
        <v>0.0</v>
      </c>
      <c r="AG86" s="31">
        <f>ROUND(W85*AG$5/1200,2)</f>
        <v>0.0</v>
      </c>
      <c r="AH86" s="31">
        <f>ROUND(X85*AH$5/1200,2)</f>
        <v>0.0</v>
      </c>
      <c r="AI86" s="31">
        <f>ROUND(Y85*AI$5/1200,2)</f>
        <v>0.0</v>
      </c>
      <c r="AJ86" s="31">
        <f>ROUND(Z85*AJ$5/1200,2)</f>
        <v>0.0</v>
      </c>
      <c r="AK86" s="31">
        <f>ROUND(AA85*AK$5/1200,2)</f>
        <v>0.0</v>
      </c>
      <c r="AL86" s="31">
        <f>MIN(AL$5,R85+AB86)</f>
        <v>0.0</v>
      </c>
      <c r="AM86" s="31">
        <f>MIN(AM$5,S85+AC86)</f>
        <v>0.0</v>
      </c>
      <c r="AN86" s="31">
        <f>MIN(AN$5,T85+AD86)</f>
        <v>0.0</v>
      </c>
      <c r="AO86" s="31">
        <f>MIN(AO$5,U85+AE86)</f>
        <v>0.0</v>
      </c>
      <c r="AP86" s="31">
        <f>MIN(AP$5,V85+AF86)</f>
        <v>0.0</v>
      </c>
      <c r="AQ86" s="31">
        <f>MIN(AQ$5,W85+AG86)</f>
        <v>0.0</v>
      </c>
      <c r="AR86" s="31">
        <f>MIN(AR$5,X85+AH86)</f>
        <v>0.0</v>
      </c>
      <c r="AS86" s="31">
        <f>MIN(AS$5,Y85+AI86)</f>
        <v>0.0</v>
      </c>
      <c r="AT86" s="31">
        <f>MIN(AT$5,Z85+AJ86)</f>
        <v>0.0</v>
      </c>
      <c r="AU86" s="31">
        <f>MIN(AU$5,AA85+AK86)</f>
        <v>0.0</v>
      </c>
    </row>
    <row r="87">
      <c r="A87" s="25" t="str">
        <f>IF(F86&gt;0.005,82,"")</f>
        <v/>
      </c>
      <c r="B87" s="33" t="str">
        <f>IF(A87="","",EDATE(Долги!$D$5,81))</f>
        <v/>
      </c>
      <c r="C87" s="31">
        <f>SUM(H87:Q87)</f>
        <v>0.0</v>
      </c>
      <c r="D87" s="31">
        <f>SUM(AB87:AK87)</f>
        <v>0.0</v>
      </c>
      <c r="E87" s="31">
        <f>C87-D87</f>
        <v>0.0</v>
      </c>
      <c r="F87" s="31">
        <f>SUM(R87:AA87)</f>
        <v>0.0</v>
      </c>
      <c r="G87" s="34" t="str">
        <f>IF(OR(A87="",$F$5&lt;=0),"",REPT("█",ROUND(20*F87/$F$5,0)))</f>
        <v/>
      </c>
      <c r="H87" s="31">
        <f>AL87+MIN(R86+AB87-AL87,MAX(0,ROUND(Долги!$D$19-SUM($AL87:$AU87),2)))</f>
        <v>0.0</v>
      </c>
      <c r="I87" s="31">
        <f>AM87+MIN(S86+AC87-AM87,MAX(0,ROUND(ROUND(Долги!$D$19-SUM($AL87:$AU87),2)-(SUM($H87:H87)-SUM($AL87:AL87)),2)))</f>
        <v>0.0</v>
      </c>
      <c r="J87" s="31">
        <f>AN87+MIN(T86+AD87-AN87,MAX(0,ROUND(ROUND(Долги!$D$19-SUM($AL87:$AU87),2)-(SUM($H87:I87)-SUM($AL87:AM87)),2)))</f>
        <v>0.0</v>
      </c>
      <c r="K87" s="31">
        <f>AO87+MIN(U86+AE87-AO87,MAX(0,ROUND(ROUND(Долги!$D$19-SUM($AL87:$AU87),2)-(SUM($H87:J87)-SUM($AL87:AN87)),2)))</f>
        <v>0.0</v>
      </c>
      <c r="L87" s="31">
        <f>AP87+MIN(V86+AF87-AP87,MAX(0,ROUND(ROUND(Долги!$D$19-SUM($AL87:$AU87),2)-(SUM($H87:K87)-SUM($AL87:AO87)),2)))</f>
        <v>0.0</v>
      </c>
      <c r="M87" s="31">
        <f>AQ87+MIN(W86+AG87-AQ87,MAX(0,ROUND(ROUND(Долги!$D$19-SUM($AL87:$AU87),2)-(SUM($H87:L87)-SUM($AL87:AP87)),2)))</f>
        <v>0.0</v>
      </c>
      <c r="N87" s="31">
        <f>AR87+MIN(X86+AH87-AR87,MAX(0,ROUND(ROUND(Долги!$D$19-SUM($AL87:$AU87),2)-(SUM($H87:M87)-SUM($AL87:AQ87)),2)))</f>
        <v>0.0</v>
      </c>
      <c r="O87" s="31">
        <f>AS87+MIN(Y86+AI87-AS87,MAX(0,ROUND(ROUND(Долги!$D$19-SUM($AL87:$AU87),2)-(SUM($H87:N87)-SUM($AL87:AR87)),2)))</f>
        <v>0.0</v>
      </c>
      <c r="P87" s="31">
        <f>AT87+MIN(Z86+AJ87-AT87,MAX(0,ROUND(ROUND(Долги!$D$19-SUM($AL87:$AU87),2)-(SUM($H87:O87)-SUM($AL87:AS87)),2)))</f>
        <v>0.0</v>
      </c>
      <c r="Q87" s="31">
        <f>AU87+MIN(AA86+AK87-AU87,MAX(0,ROUND(ROUND(Долги!$D$19-SUM($AL87:$AU87),2)-(SUM($H87:P87)-SUM($AL87:AT87)),2)))</f>
        <v>0.0</v>
      </c>
      <c r="R87" s="31">
        <f>IF(R86+AB87-H87&lt;=0.01,0,ROUND(R86+AB87-H87,2))</f>
        <v>0.0</v>
      </c>
      <c r="S87" s="31">
        <f>IF(S86+AC87-I87&lt;=0.01,0,ROUND(S86+AC87-I87,2))</f>
        <v>0.0</v>
      </c>
      <c r="T87" s="31">
        <f>IF(T86+AD87-J87&lt;=0.01,0,ROUND(T86+AD87-J87,2))</f>
        <v>0.0</v>
      </c>
      <c r="U87" s="31">
        <f>IF(U86+AE87-K87&lt;=0.01,0,ROUND(U86+AE87-K87,2))</f>
        <v>0.0</v>
      </c>
      <c r="V87" s="31">
        <f>IF(V86+AF87-L87&lt;=0.01,0,ROUND(V86+AF87-L87,2))</f>
        <v>0.0</v>
      </c>
      <c r="W87" s="31">
        <f>IF(W86+AG87-M87&lt;=0.01,0,ROUND(W86+AG87-M87,2))</f>
        <v>0.0</v>
      </c>
      <c r="X87" s="31">
        <f>IF(X86+AH87-N87&lt;=0.01,0,ROUND(X86+AH87-N87,2))</f>
        <v>0.0</v>
      </c>
      <c r="Y87" s="31">
        <f>IF(Y86+AI87-O87&lt;=0.01,0,ROUND(Y86+AI87-O87,2))</f>
        <v>0.0</v>
      </c>
      <c r="Z87" s="31">
        <f>IF(Z86+AJ87-P87&lt;=0.01,0,ROUND(Z86+AJ87-P87,2))</f>
        <v>0.0</v>
      </c>
      <c r="AA87" s="31">
        <f>IF(AA86+AK87-Q87&lt;=0.01,0,ROUND(AA86+AK87-Q87,2))</f>
        <v>0.0</v>
      </c>
      <c r="AB87" s="31">
        <f>ROUND(R86*AB$5/1200,2)</f>
        <v>0.0</v>
      </c>
      <c r="AC87" s="31">
        <f>ROUND(S86*AC$5/1200,2)</f>
        <v>0.0</v>
      </c>
      <c r="AD87" s="31">
        <f>ROUND(T86*AD$5/1200,2)</f>
        <v>0.0</v>
      </c>
      <c r="AE87" s="31">
        <f>ROUND(U86*AE$5/1200,2)</f>
        <v>0.0</v>
      </c>
      <c r="AF87" s="31">
        <f>ROUND(V86*AF$5/1200,2)</f>
        <v>0.0</v>
      </c>
      <c r="AG87" s="31">
        <f>ROUND(W86*AG$5/1200,2)</f>
        <v>0.0</v>
      </c>
      <c r="AH87" s="31">
        <f>ROUND(X86*AH$5/1200,2)</f>
        <v>0.0</v>
      </c>
      <c r="AI87" s="31">
        <f>ROUND(Y86*AI$5/1200,2)</f>
        <v>0.0</v>
      </c>
      <c r="AJ87" s="31">
        <f>ROUND(Z86*AJ$5/1200,2)</f>
        <v>0.0</v>
      </c>
      <c r="AK87" s="31">
        <f>ROUND(AA86*AK$5/1200,2)</f>
        <v>0.0</v>
      </c>
      <c r="AL87" s="31">
        <f>MIN(AL$5,R86+AB87)</f>
        <v>0.0</v>
      </c>
      <c r="AM87" s="31">
        <f>MIN(AM$5,S86+AC87)</f>
        <v>0.0</v>
      </c>
      <c r="AN87" s="31">
        <f>MIN(AN$5,T86+AD87)</f>
        <v>0.0</v>
      </c>
      <c r="AO87" s="31">
        <f>MIN(AO$5,U86+AE87)</f>
        <v>0.0</v>
      </c>
      <c r="AP87" s="31">
        <f>MIN(AP$5,V86+AF87)</f>
        <v>0.0</v>
      </c>
      <c r="AQ87" s="31">
        <f>MIN(AQ$5,W86+AG87)</f>
        <v>0.0</v>
      </c>
      <c r="AR87" s="31">
        <f>MIN(AR$5,X86+AH87)</f>
        <v>0.0</v>
      </c>
      <c r="AS87" s="31">
        <f>MIN(AS$5,Y86+AI87)</f>
        <v>0.0</v>
      </c>
      <c r="AT87" s="31">
        <f>MIN(AT$5,Z86+AJ87)</f>
        <v>0.0</v>
      </c>
      <c r="AU87" s="31">
        <f>MIN(AU$5,AA86+AK87)</f>
        <v>0.0</v>
      </c>
    </row>
    <row r="88">
      <c r="A88" s="25" t="str">
        <f>IF(F87&gt;0.005,83,"")</f>
        <v/>
      </c>
      <c r="B88" s="33" t="str">
        <f>IF(A88="","",EDATE(Долги!$D$5,82))</f>
        <v/>
      </c>
      <c r="C88" s="31">
        <f>SUM(H88:Q88)</f>
        <v>0.0</v>
      </c>
      <c r="D88" s="31">
        <f>SUM(AB88:AK88)</f>
        <v>0.0</v>
      </c>
      <c r="E88" s="31">
        <f>C88-D88</f>
        <v>0.0</v>
      </c>
      <c r="F88" s="31">
        <f>SUM(R88:AA88)</f>
        <v>0.0</v>
      </c>
      <c r="G88" s="34" t="str">
        <f>IF(OR(A88="",$F$5&lt;=0),"",REPT("█",ROUND(20*F88/$F$5,0)))</f>
        <v/>
      </c>
      <c r="H88" s="31">
        <f>AL88+MIN(R87+AB88-AL88,MAX(0,ROUND(Долги!$D$19-SUM($AL88:$AU88),2)))</f>
        <v>0.0</v>
      </c>
      <c r="I88" s="31">
        <f>AM88+MIN(S87+AC88-AM88,MAX(0,ROUND(ROUND(Долги!$D$19-SUM($AL88:$AU88),2)-(SUM($H88:H88)-SUM($AL88:AL88)),2)))</f>
        <v>0.0</v>
      </c>
      <c r="J88" s="31">
        <f>AN88+MIN(T87+AD88-AN88,MAX(0,ROUND(ROUND(Долги!$D$19-SUM($AL88:$AU88),2)-(SUM($H88:I88)-SUM($AL88:AM88)),2)))</f>
        <v>0.0</v>
      </c>
      <c r="K88" s="31">
        <f>AO88+MIN(U87+AE88-AO88,MAX(0,ROUND(ROUND(Долги!$D$19-SUM($AL88:$AU88),2)-(SUM($H88:J88)-SUM($AL88:AN88)),2)))</f>
        <v>0.0</v>
      </c>
      <c r="L88" s="31">
        <f>AP88+MIN(V87+AF88-AP88,MAX(0,ROUND(ROUND(Долги!$D$19-SUM($AL88:$AU88),2)-(SUM($H88:K88)-SUM($AL88:AO88)),2)))</f>
        <v>0.0</v>
      </c>
      <c r="M88" s="31">
        <f>AQ88+MIN(W87+AG88-AQ88,MAX(0,ROUND(ROUND(Долги!$D$19-SUM($AL88:$AU88),2)-(SUM($H88:L88)-SUM($AL88:AP88)),2)))</f>
        <v>0.0</v>
      </c>
      <c r="N88" s="31">
        <f>AR88+MIN(X87+AH88-AR88,MAX(0,ROUND(ROUND(Долги!$D$19-SUM($AL88:$AU88),2)-(SUM($H88:M88)-SUM($AL88:AQ88)),2)))</f>
        <v>0.0</v>
      </c>
      <c r="O88" s="31">
        <f>AS88+MIN(Y87+AI88-AS88,MAX(0,ROUND(ROUND(Долги!$D$19-SUM($AL88:$AU88),2)-(SUM($H88:N88)-SUM($AL88:AR88)),2)))</f>
        <v>0.0</v>
      </c>
      <c r="P88" s="31">
        <f>AT88+MIN(Z87+AJ88-AT88,MAX(0,ROUND(ROUND(Долги!$D$19-SUM($AL88:$AU88),2)-(SUM($H88:O88)-SUM($AL88:AS88)),2)))</f>
        <v>0.0</v>
      </c>
      <c r="Q88" s="31">
        <f>AU88+MIN(AA87+AK88-AU88,MAX(0,ROUND(ROUND(Долги!$D$19-SUM($AL88:$AU88),2)-(SUM($H88:P88)-SUM($AL88:AT88)),2)))</f>
        <v>0.0</v>
      </c>
      <c r="R88" s="31">
        <f>IF(R87+AB88-H88&lt;=0.01,0,ROUND(R87+AB88-H88,2))</f>
        <v>0.0</v>
      </c>
      <c r="S88" s="31">
        <f>IF(S87+AC88-I88&lt;=0.01,0,ROUND(S87+AC88-I88,2))</f>
        <v>0.0</v>
      </c>
      <c r="T88" s="31">
        <f>IF(T87+AD88-J88&lt;=0.01,0,ROUND(T87+AD88-J88,2))</f>
        <v>0.0</v>
      </c>
      <c r="U88" s="31">
        <f>IF(U87+AE88-K88&lt;=0.01,0,ROUND(U87+AE88-K88,2))</f>
        <v>0.0</v>
      </c>
      <c r="V88" s="31">
        <f>IF(V87+AF88-L88&lt;=0.01,0,ROUND(V87+AF88-L88,2))</f>
        <v>0.0</v>
      </c>
      <c r="W88" s="31">
        <f>IF(W87+AG88-M88&lt;=0.01,0,ROUND(W87+AG88-M88,2))</f>
        <v>0.0</v>
      </c>
      <c r="X88" s="31">
        <f>IF(X87+AH88-N88&lt;=0.01,0,ROUND(X87+AH88-N88,2))</f>
        <v>0.0</v>
      </c>
      <c r="Y88" s="31">
        <f>IF(Y87+AI88-O88&lt;=0.01,0,ROUND(Y87+AI88-O88,2))</f>
        <v>0.0</v>
      </c>
      <c r="Z88" s="31">
        <f>IF(Z87+AJ88-P88&lt;=0.01,0,ROUND(Z87+AJ88-P88,2))</f>
        <v>0.0</v>
      </c>
      <c r="AA88" s="31">
        <f>IF(AA87+AK88-Q88&lt;=0.01,0,ROUND(AA87+AK88-Q88,2))</f>
        <v>0.0</v>
      </c>
      <c r="AB88" s="31">
        <f>ROUND(R87*AB$5/1200,2)</f>
        <v>0.0</v>
      </c>
      <c r="AC88" s="31">
        <f>ROUND(S87*AC$5/1200,2)</f>
        <v>0.0</v>
      </c>
      <c r="AD88" s="31">
        <f>ROUND(T87*AD$5/1200,2)</f>
        <v>0.0</v>
      </c>
      <c r="AE88" s="31">
        <f>ROUND(U87*AE$5/1200,2)</f>
        <v>0.0</v>
      </c>
      <c r="AF88" s="31">
        <f>ROUND(V87*AF$5/1200,2)</f>
        <v>0.0</v>
      </c>
      <c r="AG88" s="31">
        <f>ROUND(W87*AG$5/1200,2)</f>
        <v>0.0</v>
      </c>
      <c r="AH88" s="31">
        <f>ROUND(X87*AH$5/1200,2)</f>
        <v>0.0</v>
      </c>
      <c r="AI88" s="31">
        <f>ROUND(Y87*AI$5/1200,2)</f>
        <v>0.0</v>
      </c>
      <c r="AJ88" s="31">
        <f>ROUND(Z87*AJ$5/1200,2)</f>
        <v>0.0</v>
      </c>
      <c r="AK88" s="31">
        <f>ROUND(AA87*AK$5/1200,2)</f>
        <v>0.0</v>
      </c>
      <c r="AL88" s="31">
        <f>MIN(AL$5,R87+AB88)</f>
        <v>0.0</v>
      </c>
      <c r="AM88" s="31">
        <f>MIN(AM$5,S87+AC88)</f>
        <v>0.0</v>
      </c>
      <c r="AN88" s="31">
        <f>MIN(AN$5,T87+AD88)</f>
        <v>0.0</v>
      </c>
      <c r="AO88" s="31">
        <f>MIN(AO$5,U87+AE88)</f>
        <v>0.0</v>
      </c>
      <c r="AP88" s="31">
        <f>MIN(AP$5,V87+AF88)</f>
        <v>0.0</v>
      </c>
      <c r="AQ88" s="31">
        <f>MIN(AQ$5,W87+AG88)</f>
        <v>0.0</v>
      </c>
      <c r="AR88" s="31">
        <f>MIN(AR$5,X87+AH88)</f>
        <v>0.0</v>
      </c>
      <c r="AS88" s="31">
        <f>MIN(AS$5,Y87+AI88)</f>
        <v>0.0</v>
      </c>
      <c r="AT88" s="31">
        <f>MIN(AT$5,Z87+AJ88)</f>
        <v>0.0</v>
      </c>
      <c r="AU88" s="31">
        <f>MIN(AU$5,AA87+AK88)</f>
        <v>0.0</v>
      </c>
    </row>
    <row r="89">
      <c r="A89" s="25" t="str">
        <f>IF(F88&gt;0.005,84,"")</f>
        <v/>
      </c>
      <c r="B89" s="33" t="str">
        <f>IF(A89="","",EDATE(Долги!$D$5,83))</f>
        <v/>
      </c>
      <c r="C89" s="31">
        <f>SUM(H89:Q89)</f>
        <v>0.0</v>
      </c>
      <c r="D89" s="31">
        <f>SUM(AB89:AK89)</f>
        <v>0.0</v>
      </c>
      <c r="E89" s="31">
        <f>C89-D89</f>
        <v>0.0</v>
      </c>
      <c r="F89" s="31">
        <f>SUM(R89:AA89)</f>
        <v>0.0</v>
      </c>
      <c r="G89" s="34" t="str">
        <f>IF(OR(A89="",$F$5&lt;=0),"",REPT("█",ROUND(20*F89/$F$5,0)))</f>
        <v/>
      </c>
      <c r="H89" s="31">
        <f>AL89+MIN(R88+AB89-AL89,MAX(0,ROUND(Долги!$D$19-SUM($AL89:$AU89),2)))</f>
        <v>0.0</v>
      </c>
      <c r="I89" s="31">
        <f>AM89+MIN(S88+AC89-AM89,MAX(0,ROUND(ROUND(Долги!$D$19-SUM($AL89:$AU89),2)-(SUM($H89:H89)-SUM($AL89:AL89)),2)))</f>
        <v>0.0</v>
      </c>
      <c r="J89" s="31">
        <f>AN89+MIN(T88+AD89-AN89,MAX(0,ROUND(ROUND(Долги!$D$19-SUM($AL89:$AU89),2)-(SUM($H89:I89)-SUM($AL89:AM89)),2)))</f>
        <v>0.0</v>
      </c>
      <c r="K89" s="31">
        <f>AO89+MIN(U88+AE89-AO89,MAX(0,ROUND(ROUND(Долги!$D$19-SUM($AL89:$AU89),2)-(SUM($H89:J89)-SUM($AL89:AN89)),2)))</f>
        <v>0.0</v>
      </c>
      <c r="L89" s="31">
        <f>AP89+MIN(V88+AF89-AP89,MAX(0,ROUND(ROUND(Долги!$D$19-SUM($AL89:$AU89),2)-(SUM($H89:K89)-SUM($AL89:AO89)),2)))</f>
        <v>0.0</v>
      </c>
      <c r="M89" s="31">
        <f>AQ89+MIN(W88+AG89-AQ89,MAX(0,ROUND(ROUND(Долги!$D$19-SUM($AL89:$AU89),2)-(SUM($H89:L89)-SUM($AL89:AP89)),2)))</f>
        <v>0.0</v>
      </c>
      <c r="N89" s="31">
        <f>AR89+MIN(X88+AH89-AR89,MAX(0,ROUND(ROUND(Долги!$D$19-SUM($AL89:$AU89),2)-(SUM($H89:M89)-SUM($AL89:AQ89)),2)))</f>
        <v>0.0</v>
      </c>
      <c r="O89" s="31">
        <f>AS89+MIN(Y88+AI89-AS89,MAX(0,ROUND(ROUND(Долги!$D$19-SUM($AL89:$AU89),2)-(SUM($H89:N89)-SUM($AL89:AR89)),2)))</f>
        <v>0.0</v>
      </c>
      <c r="P89" s="31">
        <f>AT89+MIN(Z88+AJ89-AT89,MAX(0,ROUND(ROUND(Долги!$D$19-SUM($AL89:$AU89),2)-(SUM($H89:O89)-SUM($AL89:AS89)),2)))</f>
        <v>0.0</v>
      </c>
      <c r="Q89" s="31">
        <f>AU89+MIN(AA88+AK89-AU89,MAX(0,ROUND(ROUND(Долги!$D$19-SUM($AL89:$AU89),2)-(SUM($H89:P89)-SUM($AL89:AT89)),2)))</f>
        <v>0.0</v>
      </c>
      <c r="R89" s="31">
        <f>IF(R88+AB89-H89&lt;=0.01,0,ROUND(R88+AB89-H89,2))</f>
        <v>0.0</v>
      </c>
      <c r="S89" s="31">
        <f>IF(S88+AC89-I89&lt;=0.01,0,ROUND(S88+AC89-I89,2))</f>
        <v>0.0</v>
      </c>
      <c r="T89" s="31">
        <f>IF(T88+AD89-J89&lt;=0.01,0,ROUND(T88+AD89-J89,2))</f>
        <v>0.0</v>
      </c>
      <c r="U89" s="31">
        <f>IF(U88+AE89-K89&lt;=0.01,0,ROUND(U88+AE89-K89,2))</f>
        <v>0.0</v>
      </c>
      <c r="V89" s="31">
        <f>IF(V88+AF89-L89&lt;=0.01,0,ROUND(V88+AF89-L89,2))</f>
        <v>0.0</v>
      </c>
      <c r="W89" s="31">
        <f>IF(W88+AG89-M89&lt;=0.01,0,ROUND(W88+AG89-M89,2))</f>
        <v>0.0</v>
      </c>
      <c r="X89" s="31">
        <f>IF(X88+AH89-N89&lt;=0.01,0,ROUND(X88+AH89-N89,2))</f>
        <v>0.0</v>
      </c>
      <c r="Y89" s="31">
        <f>IF(Y88+AI89-O89&lt;=0.01,0,ROUND(Y88+AI89-O89,2))</f>
        <v>0.0</v>
      </c>
      <c r="Z89" s="31">
        <f>IF(Z88+AJ89-P89&lt;=0.01,0,ROUND(Z88+AJ89-P89,2))</f>
        <v>0.0</v>
      </c>
      <c r="AA89" s="31">
        <f>IF(AA88+AK89-Q89&lt;=0.01,0,ROUND(AA88+AK89-Q89,2))</f>
        <v>0.0</v>
      </c>
      <c r="AB89" s="31">
        <f>ROUND(R88*AB$5/1200,2)</f>
        <v>0.0</v>
      </c>
      <c r="AC89" s="31">
        <f>ROUND(S88*AC$5/1200,2)</f>
        <v>0.0</v>
      </c>
      <c r="AD89" s="31">
        <f>ROUND(T88*AD$5/1200,2)</f>
        <v>0.0</v>
      </c>
      <c r="AE89" s="31">
        <f>ROUND(U88*AE$5/1200,2)</f>
        <v>0.0</v>
      </c>
      <c r="AF89" s="31">
        <f>ROUND(V88*AF$5/1200,2)</f>
        <v>0.0</v>
      </c>
      <c r="AG89" s="31">
        <f>ROUND(W88*AG$5/1200,2)</f>
        <v>0.0</v>
      </c>
      <c r="AH89" s="31">
        <f>ROUND(X88*AH$5/1200,2)</f>
        <v>0.0</v>
      </c>
      <c r="AI89" s="31">
        <f>ROUND(Y88*AI$5/1200,2)</f>
        <v>0.0</v>
      </c>
      <c r="AJ89" s="31">
        <f>ROUND(Z88*AJ$5/1200,2)</f>
        <v>0.0</v>
      </c>
      <c r="AK89" s="31">
        <f>ROUND(AA88*AK$5/1200,2)</f>
        <v>0.0</v>
      </c>
      <c r="AL89" s="31">
        <f>MIN(AL$5,R88+AB89)</f>
        <v>0.0</v>
      </c>
      <c r="AM89" s="31">
        <f>MIN(AM$5,S88+AC89)</f>
        <v>0.0</v>
      </c>
      <c r="AN89" s="31">
        <f>MIN(AN$5,T88+AD89)</f>
        <v>0.0</v>
      </c>
      <c r="AO89" s="31">
        <f>MIN(AO$5,U88+AE89)</f>
        <v>0.0</v>
      </c>
      <c r="AP89" s="31">
        <f>MIN(AP$5,V88+AF89)</f>
        <v>0.0</v>
      </c>
      <c r="AQ89" s="31">
        <f>MIN(AQ$5,W88+AG89)</f>
        <v>0.0</v>
      </c>
      <c r="AR89" s="31">
        <f>MIN(AR$5,X88+AH89)</f>
        <v>0.0</v>
      </c>
      <c r="AS89" s="31">
        <f>MIN(AS$5,Y88+AI89)</f>
        <v>0.0</v>
      </c>
      <c r="AT89" s="31">
        <f>MIN(AT$5,Z88+AJ89)</f>
        <v>0.0</v>
      </c>
      <c r="AU89" s="31">
        <f>MIN(AU$5,AA88+AK89)</f>
        <v>0.0</v>
      </c>
    </row>
    <row r="90">
      <c r="A90" s="25" t="str">
        <f>IF(F89&gt;0.005,85,"")</f>
        <v/>
      </c>
      <c r="B90" s="33" t="str">
        <f>IF(A90="","",EDATE(Долги!$D$5,84))</f>
        <v/>
      </c>
      <c r="C90" s="31">
        <f>SUM(H90:Q90)</f>
        <v>0.0</v>
      </c>
      <c r="D90" s="31">
        <f>SUM(AB90:AK90)</f>
        <v>0.0</v>
      </c>
      <c r="E90" s="31">
        <f>C90-D90</f>
        <v>0.0</v>
      </c>
      <c r="F90" s="31">
        <f>SUM(R90:AA90)</f>
        <v>0.0</v>
      </c>
      <c r="G90" s="34" t="str">
        <f>IF(OR(A90="",$F$5&lt;=0),"",REPT("█",ROUND(20*F90/$F$5,0)))</f>
        <v/>
      </c>
      <c r="H90" s="31">
        <f>AL90+MIN(R89+AB90-AL90,MAX(0,ROUND(Долги!$D$19-SUM($AL90:$AU90),2)))</f>
        <v>0.0</v>
      </c>
      <c r="I90" s="31">
        <f>AM90+MIN(S89+AC90-AM90,MAX(0,ROUND(ROUND(Долги!$D$19-SUM($AL90:$AU90),2)-(SUM($H90:H90)-SUM($AL90:AL90)),2)))</f>
        <v>0.0</v>
      </c>
      <c r="J90" s="31">
        <f>AN90+MIN(T89+AD90-AN90,MAX(0,ROUND(ROUND(Долги!$D$19-SUM($AL90:$AU90),2)-(SUM($H90:I90)-SUM($AL90:AM90)),2)))</f>
        <v>0.0</v>
      </c>
      <c r="K90" s="31">
        <f>AO90+MIN(U89+AE90-AO90,MAX(0,ROUND(ROUND(Долги!$D$19-SUM($AL90:$AU90),2)-(SUM($H90:J90)-SUM($AL90:AN90)),2)))</f>
        <v>0.0</v>
      </c>
      <c r="L90" s="31">
        <f>AP90+MIN(V89+AF90-AP90,MAX(0,ROUND(ROUND(Долги!$D$19-SUM($AL90:$AU90),2)-(SUM($H90:K90)-SUM($AL90:AO90)),2)))</f>
        <v>0.0</v>
      </c>
      <c r="M90" s="31">
        <f>AQ90+MIN(W89+AG90-AQ90,MAX(0,ROUND(ROUND(Долги!$D$19-SUM($AL90:$AU90),2)-(SUM($H90:L90)-SUM($AL90:AP90)),2)))</f>
        <v>0.0</v>
      </c>
      <c r="N90" s="31">
        <f>AR90+MIN(X89+AH90-AR90,MAX(0,ROUND(ROUND(Долги!$D$19-SUM($AL90:$AU90),2)-(SUM($H90:M90)-SUM($AL90:AQ90)),2)))</f>
        <v>0.0</v>
      </c>
      <c r="O90" s="31">
        <f>AS90+MIN(Y89+AI90-AS90,MAX(0,ROUND(ROUND(Долги!$D$19-SUM($AL90:$AU90),2)-(SUM($H90:N90)-SUM($AL90:AR90)),2)))</f>
        <v>0.0</v>
      </c>
      <c r="P90" s="31">
        <f>AT90+MIN(Z89+AJ90-AT90,MAX(0,ROUND(ROUND(Долги!$D$19-SUM($AL90:$AU90),2)-(SUM($H90:O90)-SUM($AL90:AS90)),2)))</f>
        <v>0.0</v>
      </c>
      <c r="Q90" s="31">
        <f>AU90+MIN(AA89+AK90-AU90,MAX(0,ROUND(ROUND(Долги!$D$19-SUM($AL90:$AU90),2)-(SUM($H90:P90)-SUM($AL90:AT90)),2)))</f>
        <v>0.0</v>
      </c>
      <c r="R90" s="31">
        <f>IF(R89+AB90-H90&lt;=0.01,0,ROUND(R89+AB90-H90,2))</f>
        <v>0.0</v>
      </c>
      <c r="S90" s="31">
        <f>IF(S89+AC90-I90&lt;=0.01,0,ROUND(S89+AC90-I90,2))</f>
        <v>0.0</v>
      </c>
      <c r="T90" s="31">
        <f>IF(T89+AD90-J90&lt;=0.01,0,ROUND(T89+AD90-J90,2))</f>
        <v>0.0</v>
      </c>
      <c r="U90" s="31">
        <f>IF(U89+AE90-K90&lt;=0.01,0,ROUND(U89+AE90-K90,2))</f>
        <v>0.0</v>
      </c>
      <c r="V90" s="31">
        <f>IF(V89+AF90-L90&lt;=0.01,0,ROUND(V89+AF90-L90,2))</f>
        <v>0.0</v>
      </c>
      <c r="W90" s="31">
        <f>IF(W89+AG90-M90&lt;=0.01,0,ROUND(W89+AG90-M90,2))</f>
        <v>0.0</v>
      </c>
      <c r="X90" s="31">
        <f>IF(X89+AH90-N90&lt;=0.01,0,ROUND(X89+AH90-N90,2))</f>
        <v>0.0</v>
      </c>
      <c r="Y90" s="31">
        <f>IF(Y89+AI90-O90&lt;=0.01,0,ROUND(Y89+AI90-O90,2))</f>
        <v>0.0</v>
      </c>
      <c r="Z90" s="31">
        <f>IF(Z89+AJ90-P90&lt;=0.01,0,ROUND(Z89+AJ90-P90,2))</f>
        <v>0.0</v>
      </c>
      <c r="AA90" s="31">
        <f>IF(AA89+AK90-Q90&lt;=0.01,0,ROUND(AA89+AK90-Q90,2))</f>
        <v>0.0</v>
      </c>
      <c r="AB90" s="31">
        <f>ROUND(R89*AB$5/1200,2)</f>
        <v>0.0</v>
      </c>
      <c r="AC90" s="31">
        <f>ROUND(S89*AC$5/1200,2)</f>
        <v>0.0</v>
      </c>
      <c r="AD90" s="31">
        <f>ROUND(T89*AD$5/1200,2)</f>
        <v>0.0</v>
      </c>
      <c r="AE90" s="31">
        <f>ROUND(U89*AE$5/1200,2)</f>
        <v>0.0</v>
      </c>
      <c r="AF90" s="31">
        <f>ROUND(V89*AF$5/1200,2)</f>
        <v>0.0</v>
      </c>
      <c r="AG90" s="31">
        <f>ROUND(W89*AG$5/1200,2)</f>
        <v>0.0</v>
      </c>
      <c r="AH90" s="31">
        <f>ROUND(X89*AH$5/1200,2)</f>
        <v>0.0</v>
      </c>
      <c r="AI90" s="31">
        <f>ROUND(Y89*AI$5/1200,2)</f>
        <v>0.0</v>
      </c>
      <c r="AJ90" s="31">
        <f>ROUND(Z89*AJ$5/1200,2)</f>
        <v>0.0</v>
      </c>
      <c r="AK90" s="31">
        <f>ROUND(AA89*AK$5/1200,2)</f>
        <v>0.0</v>
      </c>
      <c r="AL90" s="31">
        <f>MIN(AL$5,R89+AB90)</f>
        <v>0.0</v>
      </c>
      <c r="AM90" s="31">
        <f>MIN(AM$5,S89+AC90)</f>
        <v>0.0</v>
      </c>
      <c r="AN90" s="31">
        <f>MIN(AN$5,T89+AD90)</f>
        <v>0.0</v>
      </c>
      <c r="AO90" s="31">
        <f>MIN(AO$5,U89+AE90)</f>
        <v>0.0</v>
      </c>
      <c r="AP90" s="31">
        <f>MIN(AP$5,V89+AF90)</f>
        <v>0.0</v>
      </c>
      <c r="AQ90" s="31">
        <f>MIN(AQ$5,W89+AG90)</f>
        <v>0.0</v>
      </c>
      <c r="AR90" s="31">
        <f>MIN(AR$5,X89+AH90)</f>
        <v>0.0</v>
      </c>
      <c r="AS90" s="31">
        <f>MIN(AS$5,Y89+AI90)</f>
        <v>0.0</v>
      </c>
      <c r="AT90" s="31">
        <f>MIN(AT$5,Z89+AJ90)</f>
        <v>0.0</v>
      </c>
      <c r="AU90" s="31">
        <f>MIN(AU$5,AA89+AK90)</f>
        <v>0.0</v>
      </c>
    </row>
    <row r="91">
      <c r="A91" s="25" t="str">
        <f>IF(F90&gt;0.005,86,"")</f>
        <v/>
      </c>
      <c r="B91" s="33" t="str">
        <f>IF(A91="","",EDATE(Долги!$D$5,85))</f>
        <v/>
      </c>
      <c r="C91" s="31">
        <f>SUM(H91:Q91)</f>
        <v>0.0</v>
      </c>
      <c r="D91" s="31">
        <f>SUM(AB91:AK91)</f>
        <v>0.0</v>
      </c>
      <c r="E91" s="31">
        <f>C91-D91</f>
        <v>0.0</v>
      </c>
      <c r="F91" s="31">
        <f>SUM(R91:AA91)</f>
        <v>0.0</v>
      </c>
      <c r="G91" s="34" t="str">
        <f>IF(OR(A91="",$F$5&lt;=0),"",REPT("█",ROUND(20*F91/$F$5,0)))</f>
        <v/>
      </c>
      <c r="H91" s="31">
        <f>AL91+MIN(R90+AB91-AL91,MAX(0,ROUND(Долги!$D$19-SUM($AL91:$AU91),2)))</f>
        <v>0.0</v>
      </c>
      <c r="I91" s="31">
        <f>AM91+MIN(S90+AC91-AM91,MAX(0,ROUND(ROUND(Долги!$D$19-SUM($AL91:$AU91),2)-(SUM($H91:H91)-SUM($AL91:AL91)),2)))</f>
        <v>0.0</v>
      </c>
      <c r="J91" s="31">
        <f>AN91+MIN(T90+AD91-AN91,MAX(0,ROUND(ROUND(Долги!$D$19-SUM($AL91:$AU91),2)-(SUM($H91:I91)-SUM($AL91:AM91)),2)))</f>
        <v>0.0</v>
      </c>
      <c r="K91" s="31">
        <f>AO91+MIN(U90+AE91-AO91,MAX(0,ROUND(ROUND(Долги!$D$19-SUM($AL91:$AU91),2)-(SUM($H91:J91)-SUM($AL91:AN91)),2)))</f>
        <v>0.0</v>
      </c>
      <c r="L91" s="31">
        <f>AP91+MIN(V90+AF91-AP91,MAX(0,ROUND(ROUND(Долги!$D$19-SUM($AL91:$AU91),2)-(SUM($H91:K91)-SUM($AL91:AO91)),2)))</f>
        <v>0.0</v>
      </c>
      <c r="M91" s="31">
        <f>AQ91+MIN(W90+AG91-AQ91,MAX(0,ROUND(ROUND(Долги!$D$19-SUM($AL91:$AU91),2)-(SUM($H91:L91)-SUM($AL91:AP91)),2)))</f>
        <v>0.0</v>
      </c>
      <c r="N91" s="31">
        <f>AR91+MIN(X90+AH91-AR91,MAX(0,ROUND(ROUND(Долги!$D$19-SUM($AL91:$AU91),2)-(SUM($H91:M91)-SUM($AL91:AQ91)),2)))</f>
        <v>0.0</v>
      </c>
      <c r="O91" s="31">
        <f>AS91+MIN(Y90+AI91-AS91,MAX(0,ROUND(ROUND(Долги!$D$19-SUM($AL91:$AU91),2)-(SUM($H91:N91)-SUM($AL91:AR91)),2)))</f>
        <v>0.0</v>
      </c>
      <c r="P91" s="31">
        <f>AT91+MIN(Z90+AJ91-AT91,MAX(0,ROUND(ROUND(Долги!$D$19-SUM($AL91:$AU91),2)-(SUM($H91:O91)-SUM($AL91:AS91)),2)))</f>
        <v>0.0</v>
      </c>
      <c r="Q91" s="31">
        <f>AU91+MIN(AA90+AK91-AU91,MAX(0,ROUND(ROUND(Долги!$D$19-SUM($AL91:$AU91),2)-(SUM($H91:P91)-SUM($AL91:AT91)),2)))</f>
        <v>0.0</v>
      </c>
      <c r="R91" s="31">
        <f>IF(R90+AB91-H91&lt;=0.01,0,ROUND(R90+AB91-H91,2))</f>
        <v>0.0</v>
      </c>
      <c r="S91" s="31">
        <f>IF(S90+AC91-I91&lt;=0.01,0,ROUND(S90+AC91-I91,2))</f>
        <v>0.0</v>
      </c>
      <c r="T91" s="31">
        <f>IF(T90+AD91-J91&lt;=0.01,0,ROUND(T90+AD91-J91,2))</f>
        <v>0.0</v>
      </c>
      <c r="U91" s="31">
        <f>IF(U90+AE91-K91&lt;=0.01,0,ROUND(U90+AE91-K91,2))</f>
        <v>0.0</v>
      </c>
      <c r="V91" s="31">
        <f>IF(V90+AF91-L91&lt;=0.01,0,ROUND(V90+AF91-L91,2))</f>
        <v>0.0</v>
      </c>
      <c r="W91" s="31">
        <f>IF(W90+AG91-M91&lt;=0.01,0,ROUND(W90+AG91-M91,2))</f>
        <v>0.0</v>
      </c>
      <c r="X91" s="31">
        <f>IF(X90+AH91-N91&lt;=0.01,0,ROUND(X90+AH91-N91,2))</f>
        <v>0.0</v>
      </c>
      <c r="Y91" s="31">
        <f>IF(Y90+AI91-O91&lt;=0.01,0,ROUND(Y90+AI91-O91,2))</f>
        <v>0.0</v>
      </c>
      <c r="Z91" s="31">
        <f>IF(Z90+AJ91-P91&lt;=0.01,0,ROUND(Z90+AJ91-P91,2))</f>
        <v>0.0</v>
      </c>
      <c r="AA91" s="31">
        <f>IF(AA90+AK91-Q91&lt;=0.01,0,ROUND(AA90+AK91-Q91,2))</f>
        <v>0.0</v>
      </c>
      <c r="AB91" s="31">
        <f>ROUND(R90*AB$5/1200,2)</f>
        <v>0.0</v>
      </c>
      <c r="AC91" s="31">
        <f>ROUND(S90*AC$5/1200,2)</f>
        <v>0.0</v>
      </c>
      <c r="AD91" s="31">
        <f>ROUND(T90*AD$5/1200,2)</f>
        <v>0.0</v>
      </c>
      <c r="AE91" s="31">
        <f>ROUND(U90*AE$5/1200,2)</f>
        <v>0.0</v>
      </c>
      <c r="AF91" s="31">
        <f>ROUND(V90*AF$5/1200,2)</f>
        <v>0.0</v>
      </c>
      <c r="AG91" s="31">
        <f>ROUND(W90*AG$5/1200,2)</f>
        <v>0.0</v>
      </c>
      <c r="AH91" s="31">
        <f>ROUND(X90*AH$5/1200,2)</f>
        <v>0.0</v>
      </c>
      <c r="AI91" s="31">
        <f>ROUND(Y90*AI$5/1200,2)</f>
        <v>0.0</v>
      </c>
      <c r="AJ91" s="31">
        <f>ROUND(Z90*AJ$5/1200,2)</f>
        <v>0.0</v>
      </c>
      <c r="AK91" s="31">
        <f>ROUND(AA90*AK$5/1200,2)</f>
        <v>0.0</v>
      </c>
      <c r="AL91" s="31">
        <f>MIN(AL$5,R90+AB91)</f>
        <v>0.0</v>
      </c>
      <c r="AM91" s="31">
        <f>MIN(AM$5,S90+AC91)</f>
        <v>0.0</v>
      </c>
      <c r="AN91" s="31">
        <f>MIN(AN$5,T90+AD91)</f>
        <v>0.0</v>
      </c>
      <c r="AO91" s="31">
        <f>MIN(AO$5,U90+AE91)</f>
        <v>0.0</v>
      </c>
      <c r="AP91" s="31">
        <f>MIN(AP$5,V90+AF91)</f>
        <v>0.0</v>
      </c>
      <c r="AQ91" s="31">
        <f>MIN(AQ$5,W90+AG91)</f>
        <v>0.0</v>
      </c>
      <c r="AR91" s="31">
        <f>MIN(AR$5,X90+AH91)</f>
        <v>0.0</v>
      </c>
      <c r="AS91" s="31">
        <f>MIN(AS$5,Y90+AI91)</f>
        <v>0.0</v>
      </c>
      <c r="AT91" s="31">
        <f>MIN(AT$5,Z90+AJ91)</f>
        <v>0.0</v>
      </c>
      <c r="AU91" s="31">
        <f>MIN(AU$5,AA90+AK91)</f>
        <v>0.0</v>
      </c>
    </row>
    <row r="92">
      <c r="A92" s="25" t="str">
        <f>IF(F91&gt;0.005,87,"")</f>
        <v/>
      </c>
      <c r="B92" s="33" t="str">
        <f>IF(A92="","",EDATE(Долги!$D$5,86))</f>
        <v/>
      </c>
      <c r="C92" s="31">
        <f>SUM(H92:Q92)</f>
        <v>0.0</v>
      </c>
      <c r="D92" s="31">
        <f>SUM(AB92:AK92)</f>
        <v>0.0</v>
      </c>
      <c r="E92" s="31">
        <f>C92-D92</f>
        <v>0.0</v>
      </c>
      <c r="F92" s="31">
        <f>SUM(R92:AA92)</f>
        <v>0.0</v>
      </c>
      <c r="G92" s="34" t="str">
        <f>IF(OR(A92="",$F$5&lt;=0),"",REPT("█",ROUND(20*F92/$F$5,0)))</f>
        <v/>
      </c>
      <c r="H92" s="31">
        <f>AL92+MIN(R91+AB92-AL92,MAX(0,ROUND(Долги!$D$19-SUM($AL92:$AU92),2)))</f>
        <v>0.0</v>
      </c>
      <c r="I92" s="31">
        <f>AM92+MIN(S91+AC92-AM92,MAX(0,ROUND(ROUND(Долги!$D$19-SUM($AL92:$AU92),2)-(SUM($H92:H92)-SUM($AL92:AL92)),2)))</f>
        <v>0.0</v>
      </c>
      <c r="J92" s="31">
        <f>AN92+MIN(T91+AD92-AN92,MAX(0,ROUND(ROUND(Долги!$D$19-SUM($AL92:$AU92),2)-(SUM($H92:I92)-SUM($AL92:AM92)),2)))</f>
        <v>0.0</v>
      </c>
      <c r="K92" s="31">
        <f>AO92+MIN(U91+AE92-AO92,MAX(0,ROUND(ROUND(Долги!$D$19-SUM($AL92:$AU92),2)-(SUM($H92:J92)-SUM($AL92:AN92)),2)))</f>
        <v>0.0</v>
      </c>
      <c r="L92" s="31">
        <f>AP92+MIN(V91+AF92-AP92,MAX(0,ROUND(ROUND(Долги!$D$19-SUM($AL92:$AU92),2)-(SUM($H92:K92)-SUM($AL92:AO92)),2)))</f>
        <v>0.0</v>
      </c>
      <c r="M92" s="31">
        <f>AQ92+MIN(W91+AG92-AQ92,MAX(0,ROUND(ROUND(Долги!$D$19-SUM($AL92:$AU92),2)-(SUM($H92:L92)-SUM($AL92:AP92)),2)))</f>
        <v>0.0</v>
      </c>
      <c r="N92" s="31">
        <f>AR92+MIN(X91+AH92-AR92,MAX(0,ROUND(ROUND(Долги!$D$19-SUM($AL92:$AU92),2)-(SUM($H92:M92)-SUM($AL92:AQ92)),2)))</f>
        <v>0.0</v>
      </c>
      <c r="O92" s="31">
        <f>AS92+MIN(Y91+AI92-AS92,MAX(0,ROUND(ROUND(Долги!$D$19-SUM($AL92:$AU92),2)-(SUM($H92:N92)-SUM($AL92:AR92)),2)))</f>
        <v>0.0</v>
      </c>
      <c r="P92" s="31">
        <f>AT92+MIN(Z91+AJ92-AT92,MAX(0,ROUND(ROUND(Долги!$D$19-SUM($AL92:$AU92),2)-(SUM($H92:O92)-SUM($AL92:AS92)),2)))</f>
        <v>0.0</v>
      </c>
      <c r="Q92" s="31">
        <f>AU92+MIN(AA91+AK92-AU92,MAX(0,ROUND(ROUND(Долги!$D$19-SUM($AL92:$AU92),2)-(SUM($H92:P92)-SUM($AL92:AT92)),2)))</f>
        <v>0.0</v>
      </c>
      <c r="R92" s="31">
        <f>IF(R91+AB92-H92&lt;=0.01,0,ROUND(R91+AB92-H92,2))</f>
        <v>0.0</v>
      </c>
      <c r="S92" s="31">
        <f>IF(S91+AC92-I92&lt;=0.01,0,ROUND(S91+AC92-I92,2))</f>
        <v>0.0</v>
      </c>
      <c r="T92" s="31">
        <f>IF(T91+AD92-J92&lt;=0.01,0,ROUND(T91+AD92-J92,2))</f>
        <v>0.0</v>
      </c>
      <c r="U92" s="31">
        <f>IF(U91+AE92-K92&lt;=0.01,0,ROUND(U91+AE92-K92,2))</f>
        <v>0.0</v>
      </c>
      <c r="V92" s="31">
        <f>IF(V91+AF92-L92&lt;=0.01,0,ROUND(V91+AF92-L92,2))</f>
        <v>0.0</v>
      </c>
      <c r="W92" s="31">
        <f>IF(W91+AG92-M92&lt;=0.01,0,ROUND(W91+AG92-M92,2))</f>
        <v>0.0</v>
      </c>
      <c r="X92" s="31">
        <f>IF(X91+AH92-N92&lt;=0.01,0,ROUND(X91+AH92-N92,2))</f>
        <v>0.0</v>
      </c>
      <c r="Y92" s="31">
        <f>IF(Y91+AI92-O92&lt;=0.01,0,ROUND(Y91+AI92-O92,2))</f>
        <v>0.0</v>
      </c>
      <c r="Z92" s="31">
        <f>IF(Z91+AJ92-P92&lt;=0.01,0,ROUND(Z91+AJ92-P92,2))</f>
        <v>0.0</v>
      </c>
      <c r="AA92" s="31">
        <f>IF(AA91+AK92-Q92&lt;=0.01,0,ROUND(AA91+AK92-Q92,2))</f>
        <v>0.0</v>
      </c>
      <c r="AB92" s="31">
        <f>ROUND(R91*AB$5/1200,2)</f>
        <v>0.0</v>
      </c>
      <c r="AC92" s="31">
        <f>ROUND(S91*AC$5/1200,2)</f>
        <v>0.0</v>
      </c>
      <c r="AD92" s="31">
        <f>ROUND(T91*AD$5/1200,2)</f>
        <v>0.0</v>
      </c>
      <c r="AE92" s="31">
        <f>ROUND(U91*AE$5/1200,2)</f>
        <v>0.0</v>
      </c>
      <c r="AF92" s="31">
        <f>ROUND(V91*AF$5/1200,2)</f>
        <v>0.0</v>
      </c>
      <c r="AG92" s="31">
        <f>ROUND(W91*AG$5/1200,2)</f>
        <v>0.0</v>
      </c>
      <c r="AH92" s="31">
        <f>ROUND(X91*AH$5/1200,2)</f>
        <v>0.0</v>
      </c>
      <c r="AI92" s="31">
        <f>ROUND(Y91*AI$5/1200,2)</f>
        <v>0.0</v>
      </c>
      <c r="AJ92" s="31">
        <f>ROUND(Z91*AJ$5/1200,2)</f>
        <v>0.0</v>
      </c>
      <c r="AK92" s="31">
        <f>ROUND(AA91*AK$5/1200,2)</f>
        <v>0.0</v>
      </c>
      <c r="AL92" s="31">
        <f>MIN(AL$5,R91+AB92)</f>
        <v>0.0</v>
      </c>
      <c r="AM92" s="31">
        <f>MIN(AM$5,S91+AC92)</f>
        <v>0.0</v>
      </c>
      <c r="AN92" s="31">
        <f>MIN(AN$5,T91+AD92)</f>
        <v>0.0</v>
      </c>
      <c r="AO92" s="31">
        <f>MIN(AO$5,U91+AE92)</f>
        <v>0.0</v>
      </c>
      <c r="AP92" s="31">
        <f>MIN(AP$5,V91+AF92)</f>
        <v>0.0</v>
      </c>
      <c r="AQ92" s="31">
        <f>MIN(AQ$5,W91+AG92)</f>
        <v>0.0</v>
      </c>
      <c r="AR92" s="31">
        <f>MIN(AR$5,X91+AH92)</f>
        <v>0.0</v>
      </c>
      <c r="AS92" s="31">
        <f>MIN(AS$5,Y91+AI92)</f>
        <v>0.0</v>
      </c>
      <c r="AT92" s="31">
        <f>MIN(AT$5,Z91+AJ92)</f>
        <v>0.0</v>
      </c>
      <c r="AU92" s="31">
        <f>MIN(AU$5,AA91+AK92)</f>
        <v>0.0</v>
      </c>
    </row>
    <row r="93">
      <c r="A93" s="25" t="str">
        <f>IF(F92&gt;0.005,88,"")</f>
        <v/>
      </c>
      <c r="B93" s="33" t="str">
        <f>IF(A93="","",EDATE(Долги!$D$5,87))</f>
        <v/>
      </c>
      <c r="C93" s="31">
        <f>SUM(H93:Q93)</f>
        <v>0.0</v>
      </c>
      <c r="D93" s="31">
        <f>SUM(AB93:AK93)</f>
        <v>0.0</v>
      </c>
      <c r="E93" s="31">
        <f>C93-D93</f>
        <v>0.0</v>
      </c>
      <c r="F93" s="31">
        <f>SUM(R93:AA93)</f>
        <v>0.0</v>
      </c>
      <c r="G93" s="34" t="str">
        <f>IF(OR(A93="",$F$5&lt;=0),"",REPT("█",ROUND(20*F93/$F$5,0)))</f>
        <v/>
      </c>
      <c r="H93" s="31">
        <f>AL93+MIN(R92+AB93-AL93,MAX(0,ROUND(Долги!$D$19-SUM($AL93:$AU93),2)))</f>
        <v>0.0</v>
      </c>
      <c r="I93" s="31">
        <f>AM93+MIN(S92+AC93-AM93,MAX(0,ROUND(ROUND(Долги!$D$19-SUM($AL93:$AU93),2)-(SUM($H93:H93)-SUM($AL93:AL93)),2)))</f>
        <v>0.0</v>
      </c>
      <c r="J93" s="31">
        <f>AN93+MIN(T92+AD93-AN93,MAX(0,ROUND(ROUND(Долги!$D$19-SUM($AL93:$AU93),2)-(SUM($H93:I93)-SUM($AL93:AM93)),2)))</f>
        <v>0.0</v>
      </c>
      <c r="K93" s="31">
        <f>AO93+MIN(U92+AE93-AO93,MAX(0,ROUND(ROUND(Долги!$D$19-SUM($AL93:$AU93),2)-(SUM($H93:J93)-SUM($AL93:AN93)),2)))</f>
        <v>0.0</v>
      </c>
      <c r="L93" s="31">
        <f>AP93+MIN(V92+AF93-AP93,MAX(0,ROUND(ROUND(Долги!$D$19-SUM($AL93:$AU93),2)-(SUM($H93:K93)-SUM($AL93:AO93)),2)))</f>
        <v>0.0</v>
      </c>
      <c r="M93" s="31">
        <f>AQ93+MIN(W92+AG93-AQ93,MAX(0,ROUND(ROUND(Долги!$D$19-SUM($AL93:$AU93),2)-(SUM($H93:L93)-SUM($AL93:AP93)),2)))</f>
        <v>0.0</v>
      </c>
      <c r="N93" s="31">
        <f>AR93+MIN(X92+AH93-AR93,MAX(0,ROUND(ROUND(Долги!$D$19-SUM($AL93:$AU93),2)-(SUM($H93:M93)-SUM($AL93:AQ93)),2)))</f>
        <v>0.0</v>
      </c>
      <c r="O93" s="31">
        <f>AS93+MIN(Y92+AI93-AS93,MAX(0,ROUND(ROUND(Долги!$D$19-SUM($AL93:$AU93),2)-(SUM($H93:N93)-SUM($AL93:AR93)),2)))</f>
        <v>0.0</v>
      </c>
      <c r="P93" s="31">
        <f>AT93+MIN(Z92+AJ93-AT93,MAX(0,ROUND(ROUND(Долги!$D$19-SUM($AL93:$AU93),2)-(SUM($H93:O93)-SUM($AL93:AS93)),2)))</f>
        <v>0.0</v>
      </c>
      <c r="Q93" s="31">
        <f>AU93+MIN(AA92+AK93-AU93,MAX(0,ROUND(ROUND(Долги!$D$19-SUM($AL93:$AU93),2)-(SUM($H93:P93)-SUM($AL93:AT93)),2)))</f>
        <v>0.0</v>
      </c>
      <c r="R93" s="31">
        <f>IF(R92+AB93-H93&lt;=0.01,0,ROUND(R92+AB93-H93,2))</f>
        <v>0.0</v>
      </c>
      <c r="S93" s="31">
        <f>IF(S92+AC93-I93&lt;=0.01,0,ROUND(S92+AC93-I93,2))</f>
        <v>0.0</v>
      </c>
      <c r="T93" s="31">
        <f>IF(T92+AD93-J93&lt;=0.01,0,ROUND(T92+AD93-J93,2))</f>
        <v>0.0</v>
      </c>
      <c r="U93" s="31">
        <f>IF(U92+AE93-K93&lt;=0.01,0,ROUND(U92+AE93-K93,2))</f>
        <v>0.0</v>
      </c>
      <c r="V93" s="31">
        <f>IF(V92+AF93-L93&lt;=0.01,0,ROUND(V92+AF93-L93,2))</f>
        <v>0.0</v>
      </c>
      <c r="W93" s="31">
        <f>IF(W92+AG93-M93&lt;=0.01,0,ROUND(W92+AG93-M93,2))</f>
        <v>0.0</v>
      </c>
      <c r="X93" s="31">
        <f>IF(X92+AH93-N93&lt;=0.01,0,ROUND(X92+AH93-N93,2))</f>
        <v>0.0</v>
      </c>
      <c r="Y93" s="31">
        <f>IF(Y92+AI93-O93&lt;=0.01,0,ROUND(Y92+AI93-O93,2))</f>
        <v>0.0</v>
      </c>
      <c r="Z93" s="31">
        <f>IF(Z92+AJ93-P93&lt;=0.01,0,ROUND(Z92+AJ93-P93,2))</f>
        <v>0.0</v>
      </c>
      <c r="AA93" s="31">
        <f>IF(AA92+AK93-Q93&lt;=0.01,0,ROUND(AA92+AK93-Q93,2))</f>
        <v>0.0</v>
      </c>
      <c r="AB93" s="31">
        <f>ROUND(R92*AB$5/1200,2)</f>
        <v>0.0</v>
      </c>
      <c r="AC93" s="31">
        <f>ROUND(S92*AC$5/1200,2)</f>
        <v>0.0</v>
      </c>
      <c r="AD93" s="31">
        <f>ROUND(T92*AD$5/1200,2)</f>
        <v>0.0</v>
      </c>
      <c r="AE93" s="31">
        <f>ROUND(U92*AE$5/1200,2)</f>
        <v>0.0</v>
      </c>
      <c r="AF93" s="31">
        <f>ROUND(V92*AF$5/1200,2)</f>
        <v>0.0</v>
      </c>
      <c r="AG93" s="31">
        <f>ROUND(W92*AG$5/1200,2)</f>
        <v>0.0</v>
      </c>
      <c r="AH93" s="31">
        <f>ROUND(X92*AH$5/1200,2)</f>
        <v>0.0</v>
      </c>
      <c r="AI93" s="31">
        <f>ROUND(Y92*AI$5/1200,2)</f>
        <v>0.0</v>
      </c>
      <c r="AJ93" s="31">
        <f>ROUND(Z92*AJ$5/1200,2)</f>
        <v>0.0</v>
      </c>
      <c r="AK93" s="31">
        <f>ROUND(AA92*AK$5/1200,2)</f>
        <v>0.0</v>
      </c>
      <c r="AL93" s="31">
        <f>MIN(AL$5,R92+AB93)</f>
        <v>0.0</v>
      </c>
      <c r="AM93" s="31">
        <f>MIN(AM$5,S92+AC93)</f>
        <v>0.0</v>
      </c>
      <c r="AN93" s="31">
        <f>MIN(AN$5,T92+AD93)</f>
        <v>0.0</v>
      </c>
      <c r="AO93" s="31">
        <f>MIN(AO$5,U92+AE93)</f>
        <v>0.0</v>
      </c>
      <c r="AP93" s="31">
        <f>MIN(AP$5,V92+AF93)</f>
        <v>0.0</v>
      </c>
      <c r="AQ93" s="31">
        <f>MIN(AQ$5,W92+AG93)</f>
        <v>0.0</v>
      </c>
      <c r="AR93" s="31">
        <f>MIN(AR$5,X92+AH93)</f>
        <v>0.0</v>
      </c>
      <c r="AS93" s="31">
        <f>MIN(AS$5,Y92+AI93)</f>
        <v>0.0</v>
      </c>
      <c r="AT93" s="31">
        <f>MIN(AT$5,Z92+AJ93)</f>
        <v>0.0</v>
      </c>
      <c r="AU93" s="31">
        <f>MIN(AU$5,AA92+AK93)</f>
        <v>0.0</v>
      </c>
    </row>
    <row r="94">
      <c r="A94" s="25" t="str">
        <f>IF(F93&gt;0.005,89,"")</f>
        <v/>
      </c>
      <c r="B94" s="33" t="str">
        <f>IF(A94="","",EDATE(Долги!$D$5,88))</f>
        <v/>
      </c>
      <c r="C94" s="31">
        <f>SUM(H94:Q94)</f>
        <v>0.0</v>
      </c>
      <c r="D94" s="31">
        <f>SUM(AB94:AK94)</f>
        <v>0.0</v>
      </c>
      <c r="E94" s="31">
        <f>C94-D94</f>
        <v>0.0</v>
      </c>
      <c r="F94" s="31">
        <f>SUM(R94:AA94)</f>
        <v>0.0</v>
      </c>
      <c r="G94" s="34" t="str">
        <f>IF(OR(A94="",$F$5&lt;=0),"",REPT("█",ROUND(20*F94/$F$5,0)))</f>
        <v/>
      </c>
      <c r="H94" s="31">
        <f>AL94+MIN(R93+AB94-AL94,MAX(0,ROUND(Долги!$D$19-SUM($AL94:$AU94),2)))</f>
        <v>0.0</v>
      </c>
      <c r="I94" s="31">
        <f>AM94+MIN(S93+AC94-AM94,MAX(0,ROUND(ROUND(Долги!$D$19-SUM($AL94:$AU94),2)-(SUM($H94:H94)-SUM($AL94:AL94)),2)))</f>
        <v>0.0</v>
      </c>
      <c r="J94" s="31">
        <f>AN94+MIN(T93+AD94-AN94,MAX(0,ROUND(ROUND(Долги!$D$19-SUM($AL94:$AU94),2)-(SUM($H94:I94)-SUM($AL94:AM94)),2)))</f>
        <v>0.0</v>
      </c>
      <c r="K94" s="31">
        <f>AO94+MIN(U93+AE94-AO94,MAX(0,ROUND(ROUND(Долги!$D$19-SUM($AL94:$AU94),2)-(SUM($H94:J94)-SUM($AL94:AN94)),2)))</f>
        <v>0.0</v>
      </c>
      <c r="L94" s="31">
        <f>AP94+MIN(V93+AF94-AP94,MAX(0,ROUND(ROUND(Долги!$D$19-SUM($AL94:$AU94),2)-(SUM($H94:K94)-SUM($AL94:AO94)),2)))</f>
        <v>0.0</v>
      </c>
      <c r="M94" s="31">
        <f>AQ94+MIN(W93+AG94-AQ94,MAX(0,ROUND(ROUND(Долги!$D$19-SUM($AL94:$AU94),2)-(SUM($H94:L94)-SUM($AL94:AP94)),2)))</f>
        <v>0.0</v>
      </c>
      <c r="N94" s="31">
        <f>AR94+MIN(X93+AH94-AR94,MAX(0,ROUND(ROUND(Долги!$D$19-SUM($AL94:$AU94),2)-(SUM($H94:M94)-SUM($AL94:AQ94)),2)))</f>
        <v>0.0</v>
      </c>
      <c r="O94" s="31">
        <f>AS94+MIN(Y93+AI94-AS94,MAX(0,ROUND(ROUND(Долги!$D$19-SUM($AL94:$AU94),2)-(SUM($H94:N94)-SUM($AL94:AR94)),2)))</f>
        <v>0.0</v>
      </c>
      <c r="P94" s="31">
        <f>AT94+MIN(Z93+AJ94-AT94,MAX(0,ROUND(ROUND(Долги!$D$19-SUM($AL94:$AU94),2)-(SUM($H94:O94)-SUM($AL94:AS94)),2)))</f>
        <v>0.0</v>
      </c>
      <c r="Q94" s="31">
        <f>AU94+MIN(AA93+AK94-AU94,MAX(0,ROUND(ROUND(Долги!$D$19-SUM($AL94:$AU94),2)-(SUM($H94:P94)-SUM($AL94:AT94)),2)))</f>
        <v>0.0</v>
      </c>
      <c r="R94" s="31">
        <f>IF(R93+AB94-H94&lt;=0.01,0,ROUND(R93+AB94-H94,2))</f>
        <v>0.0</v>
      </c>
      <c r="S94" s="31">
        <f>IF(S93+AC94-I94&lt;=0.01,0,ROUND(S93+AC94-I94,2))</f>
        <v>0.0</v>
      </c>
      <c r="T94" s="31">
        <f>IF(T93+AD94-J94&lt;=0.01,0,ROUND(T93+AD94-J94,2))</f>
        <v>0.0</v>
      </c>
      <c r="U94" s="31">
        <f>IF(U93+AE94-K94&lt;=0.01,0,ROUND(U93+AE94-K94,2))</f>
        <v>0.0</v>
      </c>
      <c r="V94" s="31">
        <f>IF(V93+AF94-L94&lt;=0.01,0,ROUND(V93+AF94-L94,2))</f>
        <v>0.0</v>
      </c>
      <c r="W94" s="31">
        <f>IF(W93+AG94-M94&lt;=0.01,0,ROUND(W93+AG94-M94,2))</f>
        <v>0.0</v>
      </c>
      <c r="X94" s="31">
        <f>IF(X93+AH94-N94&lt;=0.01,0,ROUND(X93+AH94-N94,2))</f>
        <v>0.0</v>
      </c>
      <c r="Y94" s="31">
        <f>IF(Y93+AI94-O94&lt;=0.01,0,ROUND(Y93+AI94-O94,2))</f>
        <v>0.0</v>
      </c>
      <c r="Z94" s="31">
        <f>IF(Z93+AJ94-P94&lt;=0.01,0,ROUND(Z93+AJ94-P94,2))</f>
        <v>0.0</v>
      </c>
      <c r="AA94" s="31">
        <f>IF(AA93+AK94-Q94&lt;=0.01,0,ROUND(AA93+AK94-Q94,2))</f>
        <v>0.0</v>
      </c>
      <c r="AB94" s="31">
        <f>ROUND(R93*AB$5/1200,2)</f>
        <v>0.0</v>
      </c>
      <c r="AC94" s="31">
        <f>ROUND(S93*AC$5/1200,2)</f>
        <v>0.0</v>
      </c>
      <c r="AD94" s="31">
        <f>ROUND(T93*AD$5/1200,2)</f>
        <v>0.0</v>
      </c>
      <c r="AE94" s="31">
        <f>ROUND(U93*AE$5/1200,2)</f>
        <v>0.0</v>
      </c>
      <c r="AF94" s="31">
        <f>ROUND(V93*AF$5/1200,2)</f>
        <v>0.0</v>
      </c>
      <c r="AG94" s="31">
        <f>ROUND(W93*AG$5/1200,2)</f>
        <v>0.0</v>
      </c>
      <c r="AH94" s="31">
        <f>ROUND(X93*AH$5/1200,2)</f>
        <v>0.0</v>
      </c>
      <c r="AI94" s="31">
        <f>ROUND(Y93*AI$5/1200,2)</f>
        <v>0.0</v>
      </c>
      <c r="AJ94" s="31">
        <f>ROUND(Z93*AJ$5/1200,2)</f>
        <v>0.0</v>
      </c>
      <c r="AK94" s="31">
        <f>ROUND(AA93*AK$5/1200,2)</f>
        <v>0.0</v>
      </c>
      <c r="AL94" s="31">
        <f>MIN(AL$5,R93+AB94)</f>
        <v>0.0</v>
      </c>
      <c r="AM94" s="31">
        <f>MIN(AM$5,S93+AC94)</f>
        <v>0.0</v>
      </c>
      <c r="AN94" s="31">
        <f>MIN(AN$5,T93+AD94)</f>
        <v>0.0</v>
      </c>
      <c r="AO94" s="31">
        <f>MIN(AO$5,U93+AE94)</f>
        <v>0.0</v>
      </c>
      <c r="AP94" s="31">
        <f>MIN(AP$5,V93+AF94)</f>
        <v>0.0</v>
      </c>
      <c r="AQ94" s="31">
        <f>MIN(AQ$5,W93+AG94)</f>
        <v>0.0</v>
      </c>
      <c r="AR94" s="31">
        <f>MIN(AR$5,X93+AH94)</f>
        <v>0.0</v>
      </c>
      <c r="AS94" s="31">
        <f>MIN(AS$5,Y93+AI94)</f>
        <v>0.0</v>
      </c>
      <c r="AT94" s="31">
        <f>MIN(AT$5,Z93+AJ94)</f>
        <v>0.0</v>
      </c>
      <c r="AU94" s="31">
        <f>MIN(AU$5,AA93+AK94)</f>
        <v>0.0</v>
      </c>
    </row>
    <row r="95">
      <c r="A95" s="25" t="str">
        <f>IF(F94&gt;0.005,90,"")</f>
        <v/>
      </c>
      <c r="B95" s="33" t="str">
        <f>IF(A95="","",EDATE(Долги!$D$5,89))</f>
        <v/>
      </c>
      <c r="C95" s="31">
        <f>SUM(H95:Q95)</f>
        <v>0.0</v>
      </c>
      <c r="D95" s="31">
        <f>SUM(AB95:AK95)</f>
        <v>0.0</v>
      </c>
      <c r="E95" s="31">
        <f>C95-D95</f>
        <v>0.0</v>
      </c>
      <c r="F95" s="31">
        <f>SUM(R95:AA95)</f>
        <v>0.0</v>
      </c>
      <c r="G95" s="34" t="str">
        <f>IF(OR(A95="",$F$5&lt;=0),"",REPT("█",ROUND(20*F95/$F$5,0)))</f>
        <v/>
      </c>
      <c r="H95" s="31">
        <f>AL95+MIN(R94+AB95-AL95,MAX(0,ROUND(Долги!$D$19-SUM($AL95:$AU95),2)))</f>
        <v>0.0</v>
      </c>
      <c r="I95" s="31">
        <f>AM95+MIN(S94+AC95-AM95,MAX(0,ROUND(ROUND(Долги!$D$19-SUM($AL95:$AU95),2)-(SUM($H95:H95)-SUM($AL95:AL95)),2)))</f>
        <v>0.0</v>
      </c>
      <c r="J95" s="31">
        <f>AN95+MIN(T94+AD95-AN95,MAX(0,ROUND(ROUND(Долги!$D$19-SUM($AL95:$AU95),2)-(SUM($H95:I95)-SUM($AL95:AM95)),2)))</f>
        <v>0.0</v>
      </c>
      <c r="K95" s="31">
        <f>AO95+MIN(U94+AE95-AO95,MAX(0,ROUND(ROUND(Долги!$D$19-SUM($AL95:$AU95),2)-(SUM($H95:J95)-SUM($AL95:AN95)),2)))</f>
        <v>0.0</v>
      </c>
      <c r="L95" s="31">
        <f>AP95+MIN(V94+AF95-AP95,MAX(0,ROUND(ROUND(Долги!$D$19-SUM($AL95:$AU95),2)-(SUM($H95:K95)-SUM($AL95:AO95)),2)))</f>
        <v>0.0</v>
      </c>
      <c r="M95" s="31">
        <f>AQ95+MIN(W94+AG95-AQ95,MAX(0,ROUND(ROUND(Долги!$D$19-SUM($AL95:$AU95),2)-(SUM($H95:L95)-SUM($AL95:AP95)),2)))</f>
        <v>0.0</v>
      </c>
      <c r="N95" s="31">
        <f>AR95+MIN(X94+AH95-AR95,MAX(0,ROUND(ROUND(Долги!$D$19-SUM($AL95:$AU95),2)-(SUM($H95:M95)-SUM($AL95:AQ95)),2)))</f>
        <v>0.0</v>
      </c>
      <c r="O95" s="31">
        <f>AS95+MIN(Y94+AI95-AS95,MAX(0,ROUND(ROUND(Долги!$D$19-SUM($AL95:$AU95),2)-(SUM($H95:N95)-SUM($AL95:AR95)),2)))</f>
        <v>0.0</v>
      </c>
      <c r="P95" s="31">
        <f>AT95+MIN(Z94+AJ95-AT95,MAX(0,ROUND(ROUND(Долги!$D$19-SUM($AL95:$AU95),2)-(SUM($H95:O95)-SUM($AL95:AS95)),2)))</f>
        <v>0.0</v>
      </c>
      <c r="Q95" s="31">
        <f>AU95+MIN(AA94+AK95-AU95,MAX(0,ROUND(ROUND(Долги!$D$19-SUM($AL95:$AU95),2)-(SUM($H95:P95)-SUM($AL95:AT95)),2)))</f>
        <v>0.0</v>
      </c>
      <c r="R95" s="31">
        <f>IF(R94+AB95-H95&lt;=0.01,0,ROUND(R94+AB95-H95,2))</f>
        <v>0.0</v>
      </c>
      <c r="S95" s="31">
        <f>IF(S94+AC95-I95&lt;=0.01,0,ROUND(S94+AC95-I95,2))</f>
        <v>0.0</v>
      </c>
      <c r="T95" s="31">
        <f>IF(T94+AD95-J95&lt;=0.01,0,ROUND(T94+AD95-J95,2))</f>
        <v>0.0</v>
      </c>
      <c r="U95" s="31">
        <f>IF(U94+AE95-K95&lt;=0.01,0,ROUND(U94+AE95-K95,2))</f>
        <v>0.0</v>
      </c>
      <c r="V95" s="31">
        <f>IF(V94+AF95-L95&lt;=0.01,0,ROUND(V94+AF95-L95,2))</f>
        <v>0.0</v>
      </c>
      <c r="W95" s="31">
        <f>IF(W94+AG95-M95&lt;=0.01,0,ROUND(W94+AG95-M95,2))</f>
        <v>0.0</v>
      </c>
      <c r="X95" s="31">
        <f>IF(X94+AH95-N95&lt;=0.01,0,ROUND(X94+AH95-N95,2))</f>
        <v>0.0</v>
      </c>
      <c r="Y95" s="31">
        <f>IF(Y94+AI95-O95&lt;=0.01,0,ROUND(Y94+AI95-O95,2))</f>
        <v>0.0</v>
      </c>
      <c r="Z95" s="31">
        <f>IF(Z94+AJ95-P95&lt;=0.01,0,ROUND(Z94+AJ95-P95,2))</f>
        <v>0.0</v>
      </c>
      <c r="AA95" s="31">
        <f>IF(AA94+AK95-Q95&lt;=0.01,0,ROUND(AA94+AK95-Q95,2))</f>
        <v>0.0</v>
      </c>
      <c r="AB95" s="31">
        <f>ROUND(R94*AB$5/1200,2)</f>
        <v>0.0</v>
      </c>
      <c r="AC95" s="31">
        <f>ROUND(S94*AC$5/1200,2)</f>
        <v>0.0</v>
      </c>
      <c r="AD95" s="31">
        <f>ROUND(T94*AD$5/1200,2)</f>
        <v>0.0</v>
      </c>
      <c r="AE95" s="31">
        <f>ROUND(U94*AE$5/1200,2)</f>
        <v>0.0</v>
      </c>
      <c r="AF95" s="31">
        <f>ROUND(V94*AF$5/1200,2)</f>
        <v>0.0</v>
      </c>
      <c r="AG95" s="31">
        <f>ROUND(W94*AG$5/1200,2)</f>
        <v>0.0</v>
      </c>
      <c r="AH95" s="31">
        <f>ROUND(X94*AH$5/1200,2)</f>
        <v>0.0</v>
      </c>
      <c r="AI95" s="31">
        <f>ROUND(Y94*AI$5/1200,2)</f>
        <v>0.0</v>
      </c>
      <c r="AJ95" s="31">
        <f>ROUND(Z94*AJ$5/1200,2)</f>
        <v>0.0</v>
      </c>
      <c r="AK95" s="31">
        <f>ROUND(AA94*AK$5/1200,2)</f>
        <v>0.0</v>
      </c>
      <c r="AL95" s="31">
        <f>MIN(AL$5,R94+AB95)</f>
        <v>0.0</v>
      </c>
      <c r="AM95" s="31">
        <f>MIN(AM$5,S94+AC95)</f>
        <v>0.0</v>
      </c>
      <c r="AN95" s="31">
        <f>MIN(AN$5,T94+AD95)</f>
        <v>0.0</v>
      </c>
      <c r="AO95" s="31">
        <f>MIN(AO$5,U94+AE95)</f>
        <v>0.0</v>
      </c>
      <c r="AP95" s="31">
        <f>MIN(AP$5,V94+AF95)</f>
        <v>0.0</v>
      </c>
      <c r="AQ95" s="31">
        <f>MIN(AQ$5,W94+AG95)</f>
        <v>0.0</v>
      </c>
      <c r="AR95" s="31">
        <f>MIN(AR$5,X94+AH95)</f>
        <v>0.0</v>
      </c>
      <c r="AS95" s="31">
        <f>MIN(AS$5,Y94+AI95)</f>
        <v>0.0</v>
      </c>
      <c r="AT95" s="31">
        <f>MIN(AT$5,Z94+AJ95)</f>
        <v>0.0</v>
      </c>
      <c r="AU95" s="31">
        <f>MIN(AU$5,AA94+AK95)</f>
        <v>0.0</v>
      </c>
    </row>
    <row r="96">
      <c r="A96" s="25" t="str">
        <f>IF(F95&gt;0.005,91,"")</f>
        <v/>
      </c>
      <c r="B96" s="33" t="str">
        <f>IF(A96="","",EDATE(Долги!$D$5,90))</f>
        <v/>
      </c>
      <c r="C96" s="31">
        <f>SUM(H96:Q96)</f>
        <v>0.0</v>
      </c>
      <c r="D96" s="31">
        <f>SUM(AB96:AK96)</f>
        <v>0.0</v>
      </c>
      <c r="E96" s="31">
        <f>C96-D96</f>
        <v>0.0</v>
      </c>
      <c r="F96" s="31">
        <f>SUM(R96:AA96)</f>
        <v>0.0</v>
      </c>
      <c r="G96" s="34" t="str">
        <f>IF(OR(A96="",$F$5&lt;=0),"",REPT("█",ROUND(20*F96/$F$5,0)))</f>
        <v/>
      </c>
      <c r="H96" s="31">
        <f>AL96+MIN(R95+AB96-AL96,MAX(0,ROUND(Долги!$D$19-SUM($AL96:$AU96),2)))</f>
        <v>0.0</v>
      </c>
      <c r="I96" s="31">
        <f>AM96+MIN(S95+AC96-AM96,MAX(0,ROUND(ROUND(Долги!$D$19-SUM($AL96:$AU96),2)-(SUM($H96:H96)-SUM($AL96:AL96)),2)))</f>
        <v>0.0</v>
      </c>
      <c r="J96" s="31">
        <f>AN96+MIN(T95+AD96-AN96,MAX(0,ROUND(ROUND(Долги!$D$19-SUM($AL96:$AU96),2)-(SUM($H96:I96)-SUM($AL96:AM96)),2)))</f>
        <v>0.0</v>
      </c>
      <c r="K96" s="31">
        <f>AO96+MIN(U95+AE96-AO96,MAX(0,ROUND(ROUND(Долги!$D$19-SUM($AL96:$AU96),2)-(SUM($H96:J96)-SUM($AL96:AN96)),2)))</f>
        <v>0.0</v>
      </c>
      <c r="L96" s="31">
        <f>AP96+MIN(V95+AF96-AP96,MAX(0,ROUND(ROUND(Долги!$D$19-SUM($AL96:$AU96),2)-(SUM($H96:K96)-SUM($AL96:AO96)),2)))</f>
        <v>0.0</v>
      </c>
      <c r="M96" s="31">
        <f>AQ96+MIN(W95+AG96-AQ96,MAX(0,ROUND(ROUND(Долги!$D$19-SUM($AL96:$AU96),2)-(SUM($H96:L96)-SUM($AL96:AP96)),2)))</f>
        <v>0.0</v>
      </c>
      <c r="N96" s="31">
        <f>AR96+MIN(X95+AH96-AR96,MAX(0,ROUND(ROUND(Долги!$D$19-SUM($AL96:$AU96),2)-(SUM($H96:M96)-SUM($AL96:AQ96)),2)))</f>
        <v>0.0</v>
      </c>
      <c r="O96" s="31">
        <f>AS96+MIN(Y95+AI96-AS96,MAX(0,ROUND(ROUND(Долги!$D$19-SUM($AL96:$AU96),2)-(SUM($H96:N96)-SUM($AL96:AR96)),2)))</f>
        <v>0.0</v>
      </c>
      <c r="P96" s="31">
        <f>AT96+MIN(Z95+AJ96-AT96,MAX(0,ROUND(ROUND(Долги!$D$19-SUM($AL96:$AU96),2)-(SUM($H96:O96)-SUM($AL96:AS96)),2)))</f>
        <v>0.0</v>
      </c>
      <c r="Q96" s="31">
        <f>AU96+MIN(AA95+AK96-AU96,MAX(0,ROUND(ROUND(Долги!$D$19-SUM($AL96:$AU96),2)-(SUM($H96:P96)-SUM($AL96:AT96)),2)))</f>
        <v>0.0</v>
      </c>
      <c r="R96" s="31">
        <f>IF(R95+AB96-H96&lt;=0.01,0,ROUND(R95+AB96-H96,2))</f>
        <v>0.0</v>
      </c>
      <c r="S96" s="31">
        <f>IF(S95+AC96-I96&lt;=0.01,0,ROUND(S95+AC96-I96,2))</f>
        <v>0.0</v>
      </c>
      <c r="T96" s="31">
        <f>IF(T95+AD96-J96&lt;=0.01,0,ROUND(T95+AD96-J96,2))</f>
        <v>0.0</v>
      </c>
      <c r="U96" s="31">
        <f>IF(U95+AE96-K96&lt;=0.01,0,ROUND(U95+AE96-K96,2))</f>
        <v>0.0</v>
      </c>
      <c r="V96" s="31">
        <f>IF(V95+AF96-L96&lt;=0.01,0,ROUND(V95+AF96-L96,2))</f>
        <v>0.0</v>
      </c>
      <c r="W96" s="31">
        <f>IF(W95+AG96-M96&lt;=0.01,0,ROUND(W95+AG96-M96,2))</f>
        <v>0.0</v>
      </c>
      <c r="X96" s="31">
        <f>IF(X95+AH96-N96&lt;=0.01,0,ROUND(X95+AH96-N96,2))</f>
        <v>0.0</v>
      </c>
      <c r="Y96" s="31">
        <f>IF(Y95+AI96-O96&lt;=0.01,0,ROUND(Y95+AI96-O96,2))</f>
        <v>0.0</v>
      </c>
      <c r="Z96" s="31">
        <f>IF(Z95+AJ96-P96&lt;=0.01,0,ROUND(Z95+AJ96-P96,2))</f>
        <v>0.0</v>
      </c>
      <c r="AA96" s="31">
        <f>IF(AA95+AK96-Q96&lt;=0.01,0,ROUND(AA95+AK96-Q96,2))</f>
        <v>0.0</v>
      </c>
      <c r="AB96" s="31">
        <f>ROUND(R95*AB$5/1200,2)</f>
        <v>0.0</v>
      </c>
      <c r="AC96" s="31">
        <f>ROUND(S95*AC$5/1200,2)</f>
        <v>0.0</v>
      </c>
      <c r="AD96" s="31">
        <f>ROUND(T95*AD$5/1200,2)</f>
        <v>0.0</v>
      </c>
      <c r="AE96" s="31">
        <f>ROUND(U95*AE$5/1200,2)</f>
        <v>0.0</v>
      </c>
      <c r="AF96" s="31">
        <f>ROUND(V95*AF$5/1200,2)</f>
        <v>0.0</v>
      </c>
      <c r="AG96" s="31">
        <f>ROUND(W95*AG$5/1200,2)</f>
        <v>0.0</v>
      </c>
      <c r="AH96" s="31">
        <f>ROUND(X95*AH$5/1200,2)</f>
        <v>0.0</v>
      </c>
      <c r="AI96" s="31">
        <f>ROUND(Y95*AI$5/1200,2)</f>
        <v>0.0</v>
      </c>
      <c r="AJ96" s="31">
        <f>ROUND(Z95*AJ$5/1200,2)</f>
        <v>0.0</v>
      </c>
      <c r="AK96" s="31">
        <f>ROUND(AA95*AK$5/1200,2)</f>
        <v>0.0</v>
      </c>
      <c r="AL96" s="31">
        <f>MIN(AL$5,R95+AB96)</f>
        <v>0.0</v>
      </c>
      <c r="AM96" s="31">
        <f>MIN(AM$5,S95+AC96)</f>
        <v>0.0</v>
      </c>
      <c r="AN96" s="31">
        <f>MIN(AN$5,T95+AD96)</f>
        <v>0.0</v>
      </c>
      <c r="AO96" s="31">
        <f>MIN(AO$5,U95+AE96)</f>
        <v>0.0</v>
      </c>
      <c r="AP96" s="31">
        <f>MIN(AP$5,V95+AF96)</f>
        <v>0.0</v>
      </c>
      <c r="AQ96" s="31">
        <f>MIN(AQ$5,W95+AG96)</f>
        <v>0.0</v>
      </c>
      <c r="AR96" s="31">
        <f>MIN(AR$5,X95+AH96)</f>
        <v>0.0</v>
      </c>
      <c r="AS96" s="31">
        <f>MIN(AS$5,Y95+AI96)</f>
        <v>0.0</v>
      </c>
      <c r="AT96" s="31">
        <f>MIN(AT$5,Z95+AJ96)</f>
        <v>0.0</v>
      </c>
      <c r="AU96" s="31">
        <f>MIN(AU$5,AA95+AK96)</f>
        <v>0.0</v>
      </c>
    </row>
    <row r="97">
      <c r="A97" s="25" t="str">
        <f>IF(F96&gt;0.005,92,"")</f>
        <v/>
      </c>
      <c r="B97" s="33" t="str">
        <f>IF(A97="","",EDATE(Долги!$D$5,91))</f>
        <v/>
      </c>
      <c r="C97" s="31">
        <f>SUM(H97:Q97)</f>
        <v>0.0</v>
      </c>
      <c r="D97" s="31">
        <f>SUM(AB97:AK97)</f>
        <v>0.0</v>
      </c>
      <c r="E97" s="31">
        <f>C97-D97</f>
        <v>0.0</v>
      </c>
      <c r="F97" s="31">
        <f>SUM(R97:AA97)</f>
        <v>0.0</v>
      </c>
      <c r="G97" s="34" t="str">
        <f>IF(OR(A97="",$F$5&lt;=0),"",REPT("█",ROUND(20*F97/$F$5,0)))</f>
        <v/>
      </c>
      <c r="H97" s="31">
        <f>AL97+MIN(R96+AB97-AL97,MAX(0,ROUND(Долги!$D$19-SUM($AL97:$AU97),2)))</f>
        <v>0.0</v>
      </c>
      <c r="I97" s="31">
        <f>AM97+MIN(S96+AC97-AM97,MAX(0,ROUND(ROUND(Долги!$D$19-SUM($AL97:$AU97),2)-(SUM($H97:H97)-SUM($AL97:AL97)),2)))</f>
        <v>0.0</v>
      </c>
      <c r="J97" s="31">
        <f>AN97+MIN(T96+AD97-AN97,MAX(0,ROUND(ROUND(Долги!$D$19-SUM($AL97:$AU97),2)-(SUM($H97:I97)-SUM($AL97:AM97)),2)))</f>
        <v>0.0</v>
      </c>
      <c r="K97" s="31">
        <f>AO97+MIN(U96+AE97-AO97,MAX(0,ROUND(ROUND(Долги!$D$19-SUM($AL97:$AU97),2)-(SUM($H97:J97)-SUM($AL97:AN97)),2)))</f>
        <v>0.0</v>
      </c>
      <c r="L97" s="31">
        <f>AP97+MIN(V96+AF97-AP97,MAX(0,ROUND(ROUND(Долги!$D$19-SUM($AL97:$AU97),2)-(SUM($H97:K97)-SUM($AL97:AO97)),2)))</f>
        <v>0.0</v>
      </c>
      <c r="M97" s="31">
        <f>AQ97+MIN(W96+AG97-AQ97,MAX(0,ROUND(ROUND(Долги!$D$19-SUM($AL97:$AU97),2)-(SUM($H97:L97)-SUM($AL97:AP97)),2)))</f>
        <v>0.0</v>
      </c>
      <c r="N97" s="31">
        <f>AR97+MIN(X96+AH97-AR97,MAX(0,ROUND(ROUND(Долги!$D$19-SUM($AL97:$AU97),2)-(SUM($H97:M97)-SUM($AL97:AQ97)),2)))</f>
        <v>0.0</v>
      </c>
      <c r="O97" s="31">
        <f>AS97+MIN(Y96+AI97-AS97,MAX(0,ROUND(ROUND(Долги!$D$19-SUM($AL97:$AU97),2)-(SUM($H97:N97)-SUM($AL97:AR97)),2)))</f>
        <v>0.0</v>
      </c>
      <c r="P97" s="31">
        <f>AT97+MIN(Z96+AJ97-AT97,MAX(0,ROUND(ROUND(Долги!$D$19-SUM($AL97:$AU97),2)-(SUM($H97:O97)-SUM($AL97:AS97)),2)))</f>
        <v>0.0</v>
      </c>
      <c r="Q97" s="31">
        <f>AU97+MIN(AA96+AK97-AU97,MAX(0,ROUND(ROUND(Долги!$D$19-SUM($AL97:$AU97),2)-(SUM($H97:P97)-SUM($AL97:AT97)),2)))</f>
        <v>0.0</v>
      </c>
      <c r="R97" s="31">
        <f>IF(R96+AB97-H97&lt;=0.01,0,ROUND(R96+AB97-H97,2))</f>
        <v>0.0</v>
      </c>
      <c r="S97" s="31">
        <f>IF(S96+AC97-I97&lt;=0.01,0,ROUND(S96+AC97-I97,2))</f>
        <v>0.0</v>
      </c>
      <c r="T97" s="31">
        <f>IF(T96+AD97-J97&lt;=0.01,0,ROUND(T96+AD97-J97,2))</f>
        <v>0.0</v>
      </c>
      <c r="U97" s="31">
        <f>IF(U96+AE97-K97&lt;=0.01,0,ROUND(U96+AE97-K97,2))</f>
        <v>0.0</v>
      </c>
      <c r="V97" s="31">
        <f>IF(V96+AF97-L97&lt;=0.01,0,ROUND(V96+AF97-L97,2))</f>
        <v>0.0</v>
      </c>
      <c r="W97" s="31">
        <f>IF(W96+AG97-M97&lt;=0.01,0,ROUND(W96+AG97-M97,2))</f>
        <v>0.0</v>
      </c>
      <c r="X97" s="31">
        <f>IF(X96+AH97-N97&lt;=0.01,0,ROUND(X96+AH97-N97,2))</f>
        <v>0.0</v>
      </c>
      <c r="Y97" s="31">
        <f>IF(Y96+AI97-O97&lt;=0.01,0,ROUND(Y96+AI97-O97,2))</f>
        <v>0.0</v>
      </c>
      <c r="Z97" s="31">
        <f>IF(Z96+AJ97-P97&lt;=0.01,0,ROUND(Z96+AJ97-P97,2))</f>
        <v>0.0</v>
      </c>
      <c r="AA97" s="31">
        <f>IF(AA96+AK97-Q97&lt;=0.01,0,ROUND(AA96+AK97-Q97,2))</f>
        <v>0.0</v>
      </c>
      <c r="AB97" s="31">
        <f>ROUND(R96*AB$5/1200,2)</f>
        <v>0.0</v>
      </c>
      <c r="AC97" s="31">
        <f>ROUND(S96*AC$5/1200,2)</f>
        <v>0.0</v>
      </c>
      <c r="AD97" s="31">
        <f>ROUND(T96*AD$5/1200,2)</f>
        <v>0.0</v>
      </c>
      <c r="AE97" s="31">
        <f>ROUND(U96*AE$5/1200,2)</f>
        <v>0.0</v>
      </c>
      <c r="AF97" s="31">
        <f>ROUND(V96*AF$5/1200,2)</f>
        <v>0.0</v>
      </c>
      <c r="AG97" s="31">
        <f>ROUND(W96*AG$5/1200,2)</f>
        <v>0.0</v>
      </c>
      <c r="AH97" s="31">
        <f>ROUND(X96*AH$5/1200,2)</f>
        <v>0.0</v>
      </c>
      <c r="AI97" s="31">
        <f>ROUND(Y96*AI$5/1200,2)</f>
        <v>0.0</v>
      </c>
      <c r="AJ97" s="31">
        <f>ROUND(Z96*AJ$5/1200,2)</f>
        <v>0.0</v>
      </c>
      <c r="AK97" s="31">
        <f>ROUND(AA96*AK$5/1200,2)</f>
        <v>0.0</v>
      </c>
      <c r="AL97" s="31">
        <f>MIN(AL$5,R96+AB97)</f>
        <v>0.0</v>
      </c>
      <c r="AM97" s="31">
        <f>MIN(AM$5,S96+AC97)</f>
        <v>0.0</v>
      </c>
      <c r="AN97" s="31">
        <f>MIN(AN$5,T96+AD97)</f>
        <v>0.0</v>
      </c>
      <c r="AO97" s="31">
        <f>MIN(AO$5,U96+AE97)</f>
        <v>0.0</v>
      </c>
      <c r="AP97" s="31">
        <f>MIN(AP$5,V96+AF97)</f>
        <v>0.0</v>
      </c>
      <c r="AQ97" s="31">
        <f>MIN(AQ$5,W96+AG97)</f>
        <v>0.0</v>
      </c>
      <c r="AR97" s="31">
        <f>MIN(AR$5,X96+AH97)</f>
        <v>0.0</v>
      </c>
      <c r="AS97" s="31">
        <f>MIN(AS$5,Y96+AI97)</f>
        <v>0.0</v>
      </c>
      <c r="AT97" s="31">
        <f>MIN(AT$5,Z96+AJ97)</f>
        <v>0.0</v>
      </c>
      <c r="AU97" s="31">
        <f>MIN(AU$5,AA96+AK97)</f>
        <v>0.0</v>
      </c>
    </row>
    <row r="98">
      <c r="A98" s="25" t="str">
        <f>IF(F97&gt;0.005,93,"")</f>
        <v/>
      </c>
      <c r="B98" s="33" t="str">
        <f>IF(A98="","",EDATE(Долги!$D$5,92))</f>
        <v/>
      </c>
      <c r="C98" s="31">
        <f>SUM(H98:Q98)</f>
        <v>0.0</v>
      </c>
      <c r="D98" s="31">
        <f>SUM(AB98:AK98)</f>
        <v>0.0</v>
      </c>
      <c r="E98" s="31">
        <f>C98-D98</f>
        <v>0.0</v>
      </c>
      <c r="F98" s="31">
        <f>SUM(R98:AA98)</f>
        <v>0.0</v>
      </c>
      <c r="G98" s="34" t="str">
        <f>IF(OR(A98="",$F$5&lt;=0),"",REPT("█",ROUND(20*F98/$F$5,0)))</f>
        <v/>
      </c>
      <c r="H98" s="31">
        <f>AL98+MIN(R97+AB98-AL98,MAX(0,ROUND(Долги!$D$19-SUM($AL98:$AU98),2)))</f>
        <v>0.0</v>
      </c>
      <c r="I98" s="31">
        <f>AM98+MIN(S97+AC98-AM98,MAX(0,ROUND(ROUND(Долги!$D$19-SUM($AL98:$AU98),2)-(SUM($H98:H98)-SUM($AL98:AL98)),2)))</f>
        <v>0.0</v>
      </c>
      <c r="J98" s="31">
        <f>AN98+MIN(T97+AD98-AN98,MAX(0,ROUND(ROUND(Долги!$D$19-SUM($AL98:$AU98),2)-(SUM($H98:I98)-SUM($AL98:AM98)),2)))</f>
        <v>0.0</v>
      </c>
      <c r="K98" s="31">
        <f>AO98+MIN(U97+AE98-AO98,MAX(0,ROUND(ROUND(Долги!$D$19-SUM($AL98:$AU98),2)-(SUM($H98:J98)-SUM($AL98:AN98)),2)))</f>
        <v>0.0</v>
      </c>
      <c r="L98" s="31">
        <f>AP98+MIN(V97+AF98-AP98,MAX(0,ROUND(ROUND(Долги!$D$19-SUM($AL98:$AU98),2)-(SUM($H98:K98)-SUM($AL98:AO98)),2)))</f>
        <v>0.0</v>
      </c>
      <c r="M98" s="31">
        <f>AQ98+MIN(W97+AG98-AQ98,MAX(0,ROUND(ROUND(Долги!$D$19-SUM($AL98:$AU98),2)-(SUM($H98:L98)-SUM($AL98:AP98)),2)))</f>
        <v>0.0</v>
      </c>
      <c r="N98" s="31">
        <f>AR98+MIN(X97+AH98-AR98,MAX(0,ROUND(ROUND(Долги!$D$19-SUM($AL98:$AU98),2)-(SUM($H98:M98)-SUM($AL98:AQ98)),2)))</f>
        <v>0.0</v>
      </c>
      <c r="O98" s="31">
        <f>AS98+MIN(Y97+AI98-AS98,MAX(0,ROUND(ROUND(Долги!$D$19-SUM($AL98:$AU98),2)-(SUM($H98:N98)-SUM($AL98:AR98)),2)))</f>
        <v>0.0</v>
      </c>
      <c r="P98" s="31">
        <f>AT98+MIN(Z97+AJ98-AT98,MAX(0,ROUND(ROUND(Долги!$D$19-SUM($AL98:$AU98),2)-(SUM($H98:O98)-SUM($AL98:AS98)),2)))</f>
        <v>0.0</v>
      </c>
      <c r="Q98" s="31">
        <f>AU98+MIN(AA97+AK98-AU98,MAX(0,ROUND(ROUND(Долги!$D$19-SUM($AL98:$AU98),2)-(SUM($H98:P98)-SUM($AL98:AT98)),2)))</f>
        <v>0.0</v>
      </c>
      <c r="R98" s="31">
        <f>IF(R97+AB98-H98&lt;=0.01,0,ROUND(R97+AB98-H98,2))</f>
        <v>0.0</v>
      </c>
      <c r="S98" s="31">
        <f>IF(S97+AC98-I98&lt;=0.01,0,ROUND(S97+AC98-I98,2))</f>
        <v>0.0</v>
      </c>
      <c r="T98" s="31">
        <f>IF(T97+AD98-J98&lt;=0.01,0,ROUND(T97+AD98-J98,2))</f>
        <v>0.0</v>
      </c>
      <c r="U98" s="31">
        <f>IF(U97+AE98-K98&lt;=0.01,0,ROUND(U97+AE98-K98,2))</f>
        <v>0.0</v>
      </c>
      <c r="V98" s="31">
        <f>IF(V97+AF98-L98&lt;=0.01,0,ROUND(V97+AF98-L98,2))</f>
        <v>0.0</v>
      </c>
      <c r="W98" s="31">
        <f>IF(W97+AG98-M98&lt;=0.01,0,ROUND(W97+AG98-M98,2))</f>
        <v>0.0</v>
      </c>
      <c r="X98" s="31">
        <f>IF(X97+AH98-N98&lt;=0.01,0,ROUND(X97+AH98-N98,2))</f>
        <v>0.0</v>
      </c>
      <c r="Y98" s="31">
        <f>IF(Y97+AI98-O98&lt;=0.01,0,ROUND(Y97+AI98-O98,2))</f>
        <v>0.0</v>
      </c>
      <c r="Z98" s="31">
        <f>IF(Z97+AJ98-P98&lt;=0.01,0,ROUND(Z97+AJ98-P98,2))</f>
        <v>0.0</v>
      </c>
      <c r="AA98" s="31">
        <f>IF(AA97+AK98-Q98&lt;=0.01,0,ROUND(AA97+AK98-Q98,2))</f>
        <v>0.0</v>
      </c>
      <c r="AB98" s="31">
        <f>ROUND(R97*AB$5/1200,2)</f>
        <v>0.0</v>
      </c>
      <c r="AC98" s="31">
        <f>ROUND(S97*AC$5/1200,2)</f>
        <v>0.0</v>
      </c>
      <c r="AD98" s="31">
        <f>ROUND(T97*AD$5/1200,2)</f>
        <v>0.0</v>
      </c>
      <c r="AE98" s="31">
        <f>ROUND(U97*AE$5/1200,2)</f>
        <v>0.0</v>
      </c>
      <c r="AF98" s="31">
        <f>ROUND(V97*AF$5/1200,2)</f>
        <v>0.0</v>
      </c>
      <c r="AG98" s="31">
        <f>ROUND(W97*AG$5/1200,2)</f>
        <v>0.0</v>
      </c>
      <c r="AH98" s="31">
        <f>ROUND(X97*AH$5/1200,2)</f>
        <v>0.0</v>
      </c>
      <c r="AI98" s="31">
        <f>ROUND(Y97*AI$5/1200,2)</f>
        <v>0.0</v>
      </c>
      <c r="AJ98" s="31">
        <f>ROUND(Z97*AJ$5/1200,2)</f>
        <v>0.0</v>
      </c>
      <c r="AK98" s="31">
        <f>ROUND(AA97*AK$5/1200,2)</f>
        <v>0.0</v>
      </c>
      <c r="AL98" s="31">
        <f>MIN(AL$5,R97+AB98)</f>
        <v>0.0</v>
      </c>
      <c r="AM98" s="31">
        <f>MIN(AM$5,S97+AC98)</f>
        <v>0.0</v>
      </c>
      <c r="AN98" s="31">
        <f>MIN(AN$5,T97+AD98)</f>
        <v>0.0</v>
      </c>
      <c r="AO98" s="31">
        <f>MIN(AO$5,U97+AE98)</f>
        <v>0.0</v>
      </c>
      <c r="AP98" s="31">
        <f>MIN(AP$5,V97+AF98)</f>
        <v>0.0</v>
      </c>
      <c r="AQ98" s="31">
        <f>MIN(AQ$5,W97+AG98)</f>
        <v>0.0</v>
      </c>
      <c r="AR98" s="31">
        <f>MIN(AR$5,X97+AH98)</f>
        <v>0.0</v>
      </c>
      <c r="AS98" s="31">
        <f>MIN(AS$5,Y97+AI98)</f>
        <v>0.0</v>
      </c>
      <c r="AT98" s="31">
        <f>MIN(AT$5,Z97+AJ98)</f>
        <v>0.0</v>
      </c>
      <c r="AU98" s="31">
        <f>MIN(AU$5,AA97+AK98)</f>
        <v>0.0</v>
      </c>
    </row>
    <row r="99">
      <c r="A99" s="25" t="str">
        <f>IF(F98&gt;0.005,94,"")</f>
        <v/>
      </c>
      <c r="B99" s="33" t="str">
        <f>IF(A99="","",EDATE(Долги!$D$5,93))</f>
        <v/>
      </c>
      <c r="C99" s="31">
        <f>SUM(H99:Q99)</f>
        <v>0.0</v>
      </c>
      <c r="D99" s="31">
        <f>SUM(AB99:AK99)</f>
        <v>0.0</v>
      </c>
      <c r="E99" s="31">
        <f>C99-D99</f>
        <v>0.0</v>
      </c>
      <c r="F99" s="31">
        <f>SUM(R99:AA99)</f>
        <v>0.0</v>
      </c>
      <c r="G99" s="34" t="str">
        <f>IF(OR(A99="",$F$5&lt;=0),"",REPT("█",ROUND(20*F99/$F$5,0)))</f>
        <v/>
      </c>
      <c r="H99" s="31">
        <f>AL99+MIN(R98+AB99-AL99,MAX(0,ROUND(Долги!$D$19-SUM($AL99:$AU99),2)))</f>
        <v>0.0</v>
      </c>
      <c r="I99" s="31">
        <f>AM99+MIN(S98+AC99-AM99,MAX(0,ROUND(ROUND(Долги!$D$19-SUM($AL99:$AU99),2)-(SUM($H99:H99)-SUM($AL99:AL99)),2)))</f>
        <v>0.0</v>
      </c>
      <c r="J99" s="31">
        <f>AN99+MIN(T98+AD99-AN99,MAX(0,ROUND(ROUND(Долги!$D$19-SUM($AL99:$AU99),2)-(SUM($H99:I99)-SUM($AL99:AM99)),2)))</f>
        <v>0.0</v>
      </c>
      <c r="K99" s="31">
        <f>AO99+MIN(U98+AE99-AO99,MAX(0,ROUND(ROUND(Долги!$D$19-SUM($AL99:$AU99),2)-(SUM($H99:J99)-SUM($AL99:AN99)),2)))</f>
        <v>0.0</v>
      </c>
      <c r="L99" s="31">
        <f>AP99+MIN(V98+AF99-AP99,MAX(0,ROUND(ROUND(Долги!$D$19-SUM($AL99:$AU99),2)-(SUM($H99:K99)-SUM($AL99:AO99)),2)))</f>
        <v>0.0</v>
      </c>
      <c r="M99" s="31">
        <f>AQ99+MIN(W98+AG99-AQ99,MAX(0,ROUND(ROUND(Долги!$D$19-SUM($AL99:$AU99),2)-(SUM($H99:L99)-SUM($AL99:AP99)),2)))</f>
        <v>0.0</v>
      </c>
      <c r="N99" s="31">
        <f>AR99+MIN(X98+AH99-AR99,MAX(0,ROUND(ROUND(Долги!$D$19-SUM($AL99:$AU99),2)-(SUM($H99:M99)-SUM($AL99:AQ99)),2)))</f>
        <v>0.0</v>
      </c>
      <c r="O99" s="31">
        <f>AS99+MIN(Y98+AI99-AS99,MAX(0,ROUND(ROUND(Долги!$D$19-SUM($AL99:$AU99),2)-(SUM($H99:N99)-SUM($AL99:AR99)),2)))</f>
        <v>0.0</v>
      </c>
      <c r="P99" s="31">
        <f>AT99+MIN(Z98+AJ99-AT99,MAX(0,ROUND(ROUND(Долги!$D$19-SUM($AL99:$AU99),2)-(SUM($H99:O99)-SUM($AL99:AS99)),2)))</f>
        <v>0.0</v>
      </c>
      <c r="Q99" s="31">
        <f>AU99+MIN(AA98+AK99-AU99,MAX(0,ROUND(ROUND(Долги!$D$19-SUM($AL99:$AU99),2)-(SUM($H99:P99)-SUM($AL99:AT99)),2)))</f>
        <v>0.0</v>
      </c>
      <c r="R99" s="31">
        <f>IF(R98+AB99-H99&lt;=0.01,0,ROUND(R98+AB99-H99,2))</f>
        <v>0.0</v>
      </c>
      <c r="S99" s="31">
        <f>IF(S98+AC99-I99&lt;=0.01,0,ROUND(S98+AC99-I99,2))</f>
        <v>0.0</v>
      </c>
      <c r="T99" s="31">
        <f>IF(T98+AD99-J99&lt;=0.01,0,ROUND(T98+AD99-J99,2))</f>
        <v>0.0</v>
      </c>
      <c r="U99" s="31">
        <f>IF(U98+AE99-K99&lt;=0.01,0,ROUND(U98+AE99-K99,2))</f>
        <v>0.0</v>
      </c>
      <c r="V99" s="31">
        <f>IF(V98+AF99-L99&lt;=0.01,0,ROUND(V98+AF99-L99,2))</f>
        <v>0.0</v>
      </c>
      <c r="W99" s="31">
        <f>IF(W98+AG99-M99&lt;=0.01,0,ROUND(W98+AG99-M99,2))</f>
        <v>0.0</v>
      </c>
      <c r="X99" s="31">
        <f>IF(X98+AH99-N99&lt;=0.01,0,ROUND(X98+AH99-N99,2))</f>
        <v>0.0</v>
      </c>
      <c r="Y99" s="31">
        <f>IF(Y98+AI99-O99&lt;=0.01,0,ROUND(Y98+AI99-O99,2))</f>
        <v>0.0</v>
      </c>
      <c r="Z99" s="31">
        <f>IF(Z98+AJ99-P99&lt;=0.01,0,ROUND(Z98+AJ99-P99,2))</f>
        <v>0.0</v>
      </c>
      <c r="AA99" s="31">
        <f>IF(AA98+AK99-Q99&lt;=0.01,0,ROUND(AA98+AK99-Q99,2))</f>
        <v>0.0</v>
      </c>
      <c r="AB99" s="31">
        <f>ROUND(R98*AB$5/1200,2)</f>
        <v>0.0</v>
      </c>
      <c r="AC99" s="31">
        <f>ROUND(S98*AC$5/1200,2)</f>
        <v>0.0</v>
      </c>
      <c r="AD99" s="31">
        <f>ROUND(T98*AD$5/1200,2)</f>
        <v>0.0</v>
      </c>
      <c r="AE99" s="31">
        <f>ROUND(U98*AE$5/1200,2)</f>
        <v>0.0</v>
      </c>
      <c r="AF99" s="31">
        <f>ROUND(V98*AF$5/1200,2)</f>
        <v>0.0</v>
      </c>
      <c r="AG99" s="31">
        <f>ROUND(W98*AG$5/1200,2)</f>
        <v>0.0</v>
      </c>
      <c r="AH99" s="31">
        <f>ROUND(X98*AH$5/1200,2)</f>
        <v>0.0</v>
      </c>
      <c r="AI99" s="31">
        <f>ROUND(Y98*AI$5/1200,2)</f>
        <v>0.0</v>
      </c>
      <c r="AJ99" s="31">
        <f>ROUND(Z98*AJ$5/1200,2)</f>
        <v>0.0</v>
      </c>
      <c r="AK99" s="31">
        <f>ROUND(AA98*AK$5/1200,2)</f>
        <v>0.0</v>
      </c>
      <c r="AL99" s="31">
        <f>MIN(AL$5,R98+AB99)</f>
        <v>0.0</v>
      </c>
      <c r="AM99" s="31">
        <f>MIN(AM$5,S98+AC99)</f>
        <v>0.0</v>
      </c>
      <c r="AN99" s="31">
        <f>MIN(AN$5,T98+AD99)</f>
        <v>0.0</v>
      </c>
      <c r="AO99" s="31">
        <f>MIN(AO$5,U98+AE99)</f>
        <v>0.0</v>
      </c>
      <c r="AP99" s="31">
        <f>MIN(AP$5,V98+AF99)</f>
        <v>0.0</v>
      </c>
      <c r="AQ99" s="31">
        <f>MIN(AQ$5,W98+AG99)</f>
        <v>0.0</v>
      </c>
      <c r="AR99" s="31">
        <f>MIN(AR$5,X98+AH99)</f>
        <v>0.0</v>
      </c>
      <c r="AS99" s="31">
        <f>MIN(AS$5,Y98+AI99)</f>
        <v>0.0</v>
      </c>
      <c r="AT99" s="31">
        <f>MIN(AT$5,Z98+AJ99)</f>
        <v>0.0</v>
      </c>
      <c r="AU99" s="31">
        <f>MIN(AU$5,AA98+AK99)</f>
        <v>0.0</v>
      </c>
    </row>
    <row r="100">
      <c r="A100" s="25" t="str">
        <f>IF(F99&gt;0.005,95,"")</f>
        <v/>
      </c>
      <c r="B100" s="33" t="str">
        <f>IF(A100="","",EDATE(Долги!$D$5,94))</f>
        <v/>
      </c>
      <c r="C100" s="31">
        <f>SUM(H100:Q100)</f>
        <v>0.0</v>
      </c>
      <c r="D100" s="31">
        <f>SUM(AB100:AK100)</f>
        <v>0.0</v>
      </c>
      <c r="E100" s="31">
        <f>C100-D100</f>
        <v>0.0</v>
      </c>
      <c r="F100" s="31">
        <f>SUM(R100:AA100)</f>
        <v>0.0</v>
      </c>
      <c r="G100" s="34" t="str">
        <f>IF(OR(A100="",$F$5&lt;=0),"",REPT("█",ROUND(20*F100/$F$5,0)))</f>
        <v/>
      </c>
      <c r="H100" s="31">
        <f>AL100+MIN(R99+AB100-AL100,MAX(0,ROUND(Долги!$D$19-SUM($AL100:$AU100),2)))</f>
        <v>0.0</v>
      </c>
      <c r="I100" s="31">
        <f>AM100+MIN(S99+AC100-AM100,MAX(0,ROUND(ROUND(Долги!$D$19-SUM($AL100:$AU100),2)-(SUM($H100:H100)-SUM($AL100:AL100)),2)))</f>
        <v>0.0</v>
      </c>
      <c r="J100" s="31">
        <f>AN100+MIN(T99+AD100-AN100,MAX(0,ROUND(ROUND(Долги!$D$19-SUM($AL100:$AU100),2)-(SUM($H100:I100)-SUM($AL100:AM100)),2)))</f>
        <v>0.0</v>
      </c>
      <c r="K100" s="31">
        <f>AO100+MIN(U99+AE100-AO100,MAX(0,ROUND(ROUND(Долги!$D$19-SUM($AL100:$AU100),2)-(SUM($H100:J100)-SUM($AL100:AN100)),2)))</f>
        <v>0.0</v>
      </c>
      <c r="L100" s="31">
        <f>AP100+MIN(V99+AF100-AP100,MAX(0,ROUND(ROUND(Долги!$D$19-SUM($AL100:$AU100),2)-(SUM($H100:K100)-SUM($AL100:AO100)),2)))</f>
        <v>0.0</v>
      </c>
      <c r="M100" s="31">
        <f>AQ100+MIN(W99+AG100-AQ100,MAX(0,ROUND(ROUND(Долги!$D$19-SUM($AL100:$AU100),2)-(SUM($H100:L100)-SUM($AL100:AP100)),2)))</f>
        <v>0.0</v>
      </c>
      <c r="N100" s="31">
        <f>AR100+MIN(X99+AH100-AR100,MAX(0,ROUND(ROUND(Долги!$D$19-SUM($AL100:$AU100),2)-(SUM($H100:M100)-SUM($AL100:AQ100)),2)))</f>
        <v>0.0</v>
      </c>
      <c r="O100" s="31">
        <f>AS100+MIN(Y99+AI100-AS100,MAX(0,ROUND(ROUND(Долги!$D$19-SUM($AL100:$AU100),2)-(SUM($H100:N100)-SUM($AL100:AR100)),2)))</f>
        <v>0.0</v>
      </c>
      <c r="P100" s="31">
        <f>AT100+MIN(Z99+AJ100-AT100,MAX(0,ROUND(ROUND(Долги!$D$19-SUM($AL100:$AU100),2)-(SUM($H100:O100)-SUM($AL100:AS100)),2)))</f>
        <v>0.0</v>
      </c>
      <c r="Q100" s="31">
        <f>AU100+MIN(AA99+AK100-AU100,MAX(0,ROUND(ROUND(Долги!$D$19-SUM($AL100:$AU100),2)-(SUM($H100:P100)-SUM($AL100:AT100)),2)))</f>
        <v>0.0</v>
      </c>
      <c r="R100" s="31">
        <f>IF(R99+AB100-H100&lt;=0.01,0,ROUND(R99+AB100-H100,2))</f>
        <v>0.0</v>
      </c>
      <c r="S100" s="31">
        <f>IF(S99+AC100-I100&lt;=0.01,0,ROUND(S99+AC100-I100,2))</f>
        <v>0.0</v>
      </c>
      <c r="T100" s="31">
        <f>IF(T99+AD100-J100&lt;=0.01,0,ROUND(T99+AD100-J100,2))</f>
        <v>0.0</v>
      </c>
      <c r="U100" s="31">
        <f>IF(U99+AE100-K100&lt;=0.01,0,ROUND(U99+AE100-K100,2))</f>
        <v>0.0</v>
      </c>
      <c r="V100" s="31">
        <f>IF(V99+AF100-L100&lt;=0.01,0,ROUND(V99+AF100-L100,2))</f>
        <v>0.0</v>
      </c>
      <c r="W100" s="31">
        <f>IF(W99+AG100-M100&lt;=0.01,0,ROUND(W99+AG100-M100,2))</f>
        <v>0.0</v>
      </c>
      <c r="X100" s="31">
        <f>IF(X99+AH100-N100&lt;=0.01,0,ROUND(X99+AH100-N100,2))</f>
        <v>0.0</v>
      </c>
      <c r="Y100" s="31">
        <f>IF(Y99+AI100-O100&lt;=0.01,0,ROUND(Y99+AI100-O100,2))</f>
        <v>0.0</v>
      </c>
      <c r="Z100" s="31">
        <f>IF(Z99+AJ100-P100&lt;=0.01,0,ROUND(Z99+AJ100-P100,2))</f>
        <v>0.0</v>
      </c>
      <c r="AA100" s="31">
        <f>IF(AA99+AK100-Q100&lt;=0.01,0,ROUND(AA99+AK100-Q100,2))</f>
        <v>0.0</v>
      </c>
      <c r="AB100" s="31">
        <f>ROUND(R99*AB$5/1200,2)</f>
        <v>0.0</v>
      </c>
      <c r="AC100" s="31">
        <f>ROUND(S99*AC$5/1200,2)</f>
        <v>0.0</v>
      </c>
      <c r="AD100" s="31">
        <f>ROUND(T99*AD$5/1200,2)</f>
        <v>0.0</v>
      </c>
      <c r="AE100" s="31">
        <f>ROUND(U99*AE$5/1200,2)</f>
        <v>0.0</v>
      </c>
      <c r="AF100" s="31">
        <f>ROUND(V99*AF$5/1200,2)</f>
        <v>0.0</v>
      </c>
      <c r="AG100" s="31">
        <f>ROUND(W99*AG$5/1200,2)</f>
        <v>0.0</v>
      </c>
      <c r="AH100" s="31">
        <f>ROUND(X99*AH$5/1200,2)</f>
        <v>0.0</v>
      </c>
      <c r="AI100" s="31">
        <f>ROUND(Y99*AI$5/1200,2)</f>
        <v>0.0</v>
      </c>
      <c r="AJ100" s="31">
        <f>ROUND(Z99*AJ$5/1200,2)</f>
        <v>0.0</v>
      </c>
      <c r="AK100" s="31">
        <f>ROUND(AA99*AK$5/1200,2)</f>
        <v>0.0</v>
      </c>
      <c r="AL100" s="31">
        <f>MIN(AL$5,R99+AB100)</f>
        <v>0.0</v>
      </c>
      <c r="AM100" s="31">
        <f>MIN(AM$5,S99+AC100)</f>
        <v>0.0</v>
      </c>
      <c r="AN100" s="31">
        <f>MIN(AN$5,T99+AD100)</f>
        <v>0.0</v>
      </c>
      <c r="AO100" s="31">
        <f>MIN(AO$5,U99+AE100)</f>
        <v>0.0</v>
      </c>
      <c r="AP100" s="31">
        <f>MIN(AP$5,V99+AF100)</f>
        <v>0.0</v>
      </c>
      <c r="AQ100" s="31">
        <f>MIN(AQ$5,W99+AG100)</f>
        <v>0.0</v>
      </c>
      <c r="AR100" s="31">
        <f>MIN(AR$5,X99+AH100)</f>
        <v>0.0</v>
      </c>
      <c r="AS100" s="31">
        <f>MIN(AS$5,Y99+AI100)</f>
        <v>0.0</v>
      </c>
      <c r="AT100" s="31">
        <f>MIN(AT$5,Z99+AJ100)</f>
        <v>0.0</v>
      </c>
      <c r="AU100" s="31">
        <f>MIN(AU$5,AA99+AK100)</f>
        <v>0.0</v>
      </c>
    </row>
    <row r="101">
      <c r="A101" s="25" t="str">
        <f>IF(F100&gt;0.005,96,"")</f>
        <v/>
      </c>
      <c r="B101" s="33" t="str">
        <f>IF(A101="","",EDATE(Долги!$D$5,95))</f>
        <v/>
      </c>
      <c r="C101" s="31">
        <f>SUM(H101:Q101)</f>
        <v>0.0</v>
      </c>
      <c r="D101" s="31">
        <f>SUM(AB101:AK101)</f>
        <v>0.0</v>
      </c>
      <c r="E101" s="31">
        <f>C101-D101</f>
        <v>0.0</v>
      </c>
      <c r="F101" s="31">
        <f>SUM(R101:AA101)</f>
        <v>0.0</v>
      </c>
      <c r="G101" s="34" t="str">
        <f>IF(OR(A101="",$F$5&lt;=0),"",REPT("█",ROUND(20*F101/$F$5,0)))</f>
        <v/>
      </c>
      <c r="H101" s="31">
        <f>AL101+MIN(R100+AB101-AL101,MAX(0,ROUND(Долги!$D$19-SUM($AL101:$AU101),2)))</f>
        <v>0.0</v>
      </c>
      <c r="I101" s="31">
        <f>AM101+MIN(S100+AC101-AM101,MAX(0,ROUND(ROUND(Долги!$D$19-SUM($AL101:$AU101),2)-(SUM($H101:H101)-SUM($AL101:AL101)),2)))</f>
        <v>0.0</v>
      </c>
      <c r="J101" s="31">
        <f>AN101+MIN(T100+AD101-AN101,MAX(0,ROUND(ROUND(Долги!$D$19-SUM($AL101:$AU101),2)-(SUM($H101:I101)-SUM($AL101:AM101)),2)))</f>
        <v>0.0</v>
      </c>
      <c r="K101" s="31">
        <f>AO101+MIN(U100+AE101-AO101,MAX(0,ROUND(ROUND(Долги!$D$19-SUM($AL101:$AU101),2)-(SUM($H101:J101)-SUM($AL101:AN101)),2)))</f>
        <v>0.0</v>
      </c>
      <c r="L101" s="31">
        <f>AP101+MIN(V100+AF101-AP101,MAX(0,ROUND(ROUND(Долги!$D$19-SUM($AL101:$AU101),2)-(SUM($H101:K101)-SUM($AL101:AO101)),2)))</f>
        <v>0.0</v>
      </c>
      <c r="M101" s="31">
        <f>AQ101+MIN(W100+AG101-AQ101,MAX(0,ROUND(ROUND(Долги!$D$19-SUM($AL101:$AU101),2)-(SUM($H101:L101)-SUM($AL101:AP101)),2)))</f>
        <v>0.0</v>
      </c>
      <c r="N101" s="31">
        <f>AR101+MIN(X100+AH101-AR101,MAX(0,ROUND(ROUND(Долги!$D$19-SUM($AL101:$AU101),2)-(SUM($H101:M101)-SUM($AL101:AQ101)),2)))</f>
        <v>0.0</v>
      </c>
      <c r="O101" s="31">
        <f>AS101+MIN(Y100+AI101-AS101,MAX(0,ROUND(ROUND(Долги!$D$19-SUM($AL101:$AU101),2)-(SUM($H101:N101)-SUM($AL101:AR101)),2)))</f>
        <v>0.0</v>
      </c>
      <c r="P101" s="31">
        <f>AT101+MIN(Z100+AJ101-AT101,MAX(0,ROUND(ROUND(Долги!$D$19-SUM($AL101:$AU101),2)-(SUM($H101:O101)-SUM($AL101:AS101)),2)))</f>
        <v>0.0</v>
      </c>
      <c r="Q101" s="31">
        <f>AU101+MIN(AA100+AK101-AU101,MAX(0,ROUND(ROUND(Долги!$D$19-SUM($AL101:$AU101),2)-(SUM($H101:P101)-SUM($AL101:AT101)),2)))</f>
        <v>0.0</v>
      </c>
      <c r="R101" s="31">
        <f>IF(R100+AB101-H101&lt;=0.01,0,ROUND(R100+AB101-H101,2))</f>
        <v>0.0</v>
      </c>
      <c r="S101" s="31">
        <f>IF(S100+AC101-I101&lt;=0.01,0,ROUND(S100+AC101-I101,2))</f>
        <v>0.0</v>
      </c>
      <c r="T101" s="31">
        <f>IF(T100+AD101-J101&lt;=0.01,0,ROUND(T100+AD101-J101,2))</f>
        <v>0.0</v>
      </c>
      <c r="U101" s="31">
        <f>IF(U100+AE101-K101&lt;=0.01,0,ROUND(U100+AE101-K101,2))</f>
        <v>0.0</v>
      </c>
      <c r="V101" s="31">
        <f>IF(V100+AF101-L101&lt;=0.01,0,ROUND(V100+AF101-L101,2))</f>
        <v>0.0</v>
      </c>
      <c r="W101" s="31">
        <f>IF(W100+AG101-M101&lt;=0.01,0,ROUND(W100+AG101-M101,2))</f>
        <v>0.0</v>
      </c>
      <c r="X101" s="31">
        <f>IF(X100+AH101-N101&lt;=0.01,0,ROUND(X100+AH101-N101,2))</f>
        <v>0.0</v>
      </c>
      <c r="Y101" s="31">
        <f>IF(Y100+AI101-O101&lt;=0.01,0,ROUND(Y100+AI101-O101,2))</f>
        <v>0.0</v>
      </c>
      <c r="Z101" s="31">
        <f>IF(Z100+AJ101-P101&lt;=0.01,0,ROUND(Z100+AJ101-P101,2))</f>
        <v>0.0</v>
      </c>
      <c r="AA101" s="31">
        <f>IF(AA100+AK101-Q101&lt;=0.01,0,ROUND(AA100+AK101-Q101,2))</f>
        <v>0.0</v>
      </c>
      <c r="AB101" s="31">
        <f>ROUND(R100*AB$5/1200,2)</f>
        <v>0.0</v>
      </c>
      <c r="AC101" s="31">
        <f>ROUND(S100*AC$5/1200,2)</f>
        <v>0.0</v>
      </c>
      <c r="AD101" s="31">
        <f>ROUND(T100*AD$5/1200,2)</f>
        <v>0.0</v>
      </c>
      <c r="AE101" s="31">
        <f>ROUND(U100*AE$5/1200,2)</f>
        <v>0.0</v>
      </c>
      <c r="AF101" s="31">
        <f>ROUND(V100*AF$5/1200,2)</f>
        <v>0.0</v>
      </c>
      <c r="AG101" s="31">
        <f>ROUND(W100*AG$5/1200,2)</f>
        <v>0.0</v>
      </c>
      <c r="AH101" s="31">
        <f>ROUND(X100*AH$5/1200,2)</f>
        <v>0.0</v>
      </c>
      <c r="AI101" s="31">
        <f>ROUND(Y100*AI$5/1200,2)</f>
        <v>0.0</v>
      </c>
      <c r="AJ101" s="31">
        <f>ROUND(Z100*AJ$5/1200,2)</f>
        <v>0.0</v>
      </c>
      <c r="AK101" s="31">
        <f>ROUND(AA100*AK$5/1200,2)</f>
        <v>0.0</v>
      </c>
      <c r="AL101" s="31">
        <f>MIN(AL$5,R100+AB101)</f>
        <v>0.0</v>
      </c>
      <c r="AM101" s="31">
        <f>MIN(AM$5,S100+AC101)</f>
        <v>0.0</v>
      </c>
      <c r="AN101" s="31">
        <f>MIN(AN$5,T100+AD101)</f>
        <v>0.0</v>
      </c>
      <c r="AO101" s="31">
        <f>MIN(AO$5,U100+AE101)</f>
        <v>0.0</v>
      </c>
      <c r="AP101" s="31">
        <f>MIN(AP$5,V100+AF101)</f>
        <v>0.0</v>
      </c>
      <c r="AQ101" s="31">
        <f>MIN(AQ$5,W100+AG101)</f>
        <v>0.0</v>
      </c>
      <c r="AR101" s="31">
        <f>MIN(AR$5,X100+AH101)</f>
        <v>0.0</v>
      </c>
      <c r="AS101" s="31">
        <f>MIN(AS$5,Y100+AI101)</f>
        <v>0.0</v>
      </c>
      <c r="AT101" s="31">
        <f>MIN(AT$5,Z100+AJ101)</f>
        <v>0.0</v>
      </c>
      <c r="AU101" s="31">
        <f>MIN(AU$5,AA100+AK101)</f>
        <v>0.0</v>
      </c>
    </row>
    <row r="102">
      <c r="A102" s="25" t="str">
        <f>IF(F101&gt;0.005,97,"")</f>
        <v/>
      </c>
      <c r="B102" s="33" t="str">
        <f>IF(A102="","",EDATE(Долги!$D$5,96))</f>
        <v/>
      </c>
      <c r="C102" s="31">
        <f>SUM(H102:Q102)</f>
        <v>0.0</v>
      </c>
      <c r="D102" s="31">
        <f>SUM(AB102:AK102)</f>
        <v>0.0</v>
      </c>
      <c r="E102" s="31">
        <f>C102-D102</f>
        <v>0.0</v>
      </c>
      <c r="F102" s="31">
        <f>SUM(R102:AA102)</f>
        <v>0.0</v>
      </c>
      <c r="G102" s="34" t="str">
        <f>IF(OR(A102="",$F$5&lt;=0),"",REPT("█",ROUND(20*F102/$F$5,0)))</f>
        <v/>
      </c>
      <c r="H102" s="31">
        <f>AL102+MIN(R101+AB102-AL102,MAX(0,ROUND(Долги!$D$19-SUM($AL102:$AU102),2)))</f>
        <v>0.0</v>
      </c>
      <c r="I102" s="31">
        <f>AM102+MIN(S101+AC102-AM102,MAX(0,ROUND(ROUND(Долги!$D$19-SUM($AL102:$AU102),2)-(SUM($H102:H102)-SUM($AL102:AL102)),2)))</f>
        <v>0.0</v>
      </c>
      <c r="J102" s="31">
        <f>AN102+MIN(T101+AD102-AN102,MAX(0,ROUND(ROUND(Долги!$D$19-SUM($AL102:$AU102),2)-(SUM($H102:I102)-SUM($AL102:AM102)),2)))</f>
        <v>0.0</v>
      </c>
      <c r="K102" s="31">
        <f>AO102+MIN(U101+AE102-AO102,MAX(0,ROUND(ROUND(Долги!$D$19-SUM($AL102:$AU102),2)-(SUM($H102:J102)-SUM($AL102:AN102)),2)))</f>
        <v>0.0</v>
      </c>
      <c r="L102" s="31">
        <f>AP102+MIN(V101+AF102-AP102,MAX(0,ROUND(ROUND(Долги!$D$19-SUM($AL102:$AU102),2)-(SUM($H102:K102)-SUM($AL102:AO102)),2)))</f>
        <v>0.0</v>
      </c>
      <c r="M102" s="31">
        <f>AQ102+MIN(W101+AG102-AQ102,MAX(0,ROUND(ROUND(Долги!$D$19-SUM($AL102:$AU102),2)-(SUM($H102:L102)-SUM($AL102:AP102)),2)))</f>
        <v>0.0</v>
      </c>
      <c r="N102" s="31">
        <f>AR102+MIN(X101+AH102-AR102,MAX(0,ROUND(ROUND(Долги!$D$19-SUM($AL102:$AU102),2)-(SUM($H102:M102)-SUM($AL102:AQ102)),2)))</f>
        <v>0.0</v>
      </c>
      <c r="O102" s="31">
        <f>AS102+MIN(Y101+AI102-AS102,MAX(0,ROUND(ROUND(Долги!$D$19-SUM($AL102:$AU102),2)-(SUM($H102:N102)-SUM($AL102:AR102)),2)))</f>
        <v>0.0</v>
      </c>
      <c r="P102" s="31">
        <f>AT102+MIN(Z101+AJ102-AT102,MAX(0,ROUND(ROUND(Долги!$D$19-SUM($AL102:$AU102),2)-(SUM($H102:O102)-SUM($AL102:AS102)),2)))</f>
        <v>0.0</v>
      </c>
      <c r="Q102" s="31">
        <f>AU102+MIN(AA101+AK102-AU102,MAX(0,ROUND(ROUND(Долги!$D$19-SUM($AL102:$AU102),2)-(SUM($H102:P102)-SUM($AL102:AT102)),2)))</f>
        <v>0.0</v>
      </c>
      <c r="R102" s="31">
        <f>IF(R101+AB102-H102&lt;=0.01,0,ROUND(R101+AB102-H102,2))</f>
        <v>0.0</v>
      </c>
      <c r="S102" s="31">
        <f>IF(S101+AC102-I102&lt;=0.01,0,ROUND(S101+AC102-I102,2))</f>
        <v>0.0</v>
      </c>
      <c r="T102" s="31">
        <f>IF(T101+AD102-J102&lt;=0.01,0,ROUND(T101+AD102-J102,2))</f>
        <v>0.0</v>
      </c>
      <c r="U102" s="31">
        <f>IF(U101+AE102-K102&lt;=0.01,0,ROUND(U101+AE102-K102,2))</f>
        <v>0.0</v>
      </c>
      <c r="V102" s="31">
        <f>IF(V101+AF102-L102&lt;=0.01,0,ROUND(V101+AF102-L102,2))</f>
        <v>0.0</v>
      </c>
      <c r="W102" s="31">
        <f>IF(W101+AG102-M102&lt;=0.01,0,ROUND(W101+AG102-M102,2))</f>
        <v>0.0</v>
      </c>
      <c r="X102" s="31">
        <f>IF(X101+AH102-N102&lt;=0.01,0,ROUND(X101+AH102-N102,2))</f>
        <v>0.0</v>
      </c>
      <c r="Y102" s="31">
        <f>IF(Y101+AI102-O102&lt;=0.01,0,ROUND(Y101+AI102-O102,2))</f>
        <v>0.0</v>
      </c>
      <c r="Z102" s="31">
        <f>IF(Z101+AJ102-P102&lt;=0.01,0,ROUND(Z101+AJ102-P102,2))</f>
        <v>0.0</v>
      </c>
      <c r="AA102" s="31">
        <f>IF(AA101+AK102-Q102&lt;=0.01,0,ROUND(AA101+AK102-Q102,2))</f>
        <v>0.0</v>
      </c>
      <c r="AB102" s="31">
        <f>ROUND(R101*AB$5/1200,2)</f>
        <v>0.0</v>
      </c>
      <c r="AC102" s="31">
        <f>ROUND(S101*AC$5/1200,2)</f>
        <v>0.0</v>
      </c>
      <c r="AD102" s="31">
        <f>ROUND(T101*AD$5/1200,2)</f>
        <v>0.0</v>
      </c>
      <c r="AE102" s="31">
        <f>ROUND(U101*AE$5/1200,2)</f>
        <v>0.0</v>
      </c>
      <c r="AF102" s="31">
        <f>ROUND(V101*AF$5/1200,2)</f>
        <v>0.0</v>
      </c>
      <c r="AG102" s="31">
        <f>ROUND(W101*AG$5/1200,2)</f>
        <v>0.0</v>
      </c>
      <c r="AH102" s="31">
        <f>ROUND(X101*AH$5/1200,2)</f>
        <v>0.0</v>
      </c>
      <c r="AI102" s="31">
        <f>ROUND(Y101*AI$5/1200,2)</f>
        <v>0.0</v>
      </c>
      <c r="AJ102" s="31">
        <f>ROUND(Z101*AJ$5/1200,2)</f>
        <v>0.0</v>
      </c>
      <c r="AK102" s="31">
        <f>ROUND(AA101*AK$5/1200,2)</f>
        <v>0.0</v>
      </c>
      <c r="AL102" s="31">
        <f>MIN(AL$5,R101+AB102)</f>
        <v>0.0</v>
      </c>
      <c r="AM102" s="31">
        <f>MIN(AM$5,S101+AC102)</f>
        <v>0.0</v>
      </c>
      <c r="AN102" s="31">
        <f>MIN(AN$5,T101+AD102)</f>
        <v>0.0</v>
      </c>
      <c r="AO102" s="31">
        <f>MIN(AO$5,U101+AE102)</f>
        <v>0.0</v>
      </c>
      <c r="AP102" s="31">
        <f>MIN(AP$5,V101+AF102)</f>
        <v>0.0</v>
      </c>
      <c r="AQ102" s="31">
        <f>MIN(AQ$5,W101+AG102)</f>
        <v>0.0</v>
      </c>
      <c r="AR102" s="31">
        <f>MIN(AR$5,X101+AH102)</f>
        <v>0.0</v>
      </c>
      <c r="AS102" s="31">
        <f>MIN(AS$5,Y101+AI102)</f>
        <v>0.0</v>
      </c>
      <c r="AT102" s="31">
        <f>MIN(AT$5,Z101+AJ102)</f>
        <v>0.0</v>
      </c>
      <c r="AU102" s="31">
        <f>MIN(AU$5,AA101+AK102)</f>
        <v>0.0</v>
      </c>
    </row>
    <row r="103">
      <c r="A103" s="25" t="str">
        <f>IF(F102&gt;0.005,98,"")</f>
        <v/>
      </c>
      <c r="B103" s="33" t="str">
        <f>IF(A103="","",EDATE(Долги!$D$5,97))</f>
        <v/>
      </c>
      <c r="C103" s="31">
        <f>SUM(H103:Q103)</f>
        <v>0.0</v>
      </c>
      <c r="D103" s="31">
        <f>SUM(AB103:AK103)</f>
        <v>0.0</v>
      </c>
      <c r="E103" s="31">
        <f>C103-D103</f>
        <v>0.0</v>
      </c>
      <c r="F103" s="31">
        <f>SUM(R103:AA103)</f>
        <v>0.0</v>
      </c>
      <c r="G103" s="34" t="str">
        <f>IF(OR(A103="",$F$5&lt;=0),"",REPT("█",ROUND(20*F103/$F$5,0)))</f>
        <v/>
      </c>
      <c r="H103" s="31">
        <f>AL103+MIN(R102+AB103-AL103,MAX(0,ROUND(Долги!$D$19-SUM($AL103:$AU103),2)))</f>
        <v>0.0</v>
      </c>
      <c r="I103" s="31">
        <f>AM103+MIN(S102+AC103-AM103,MAX(0,ROUND(ROUND(Долги!$D$19-SUM($AL103:$AU103),2)-(SUM($H103:H103)-SUM($AL103:AL103)),2)))</f>
        <v>0.0</v>
      </c>
      <c r="J103" s="31">
        <f>AN103+MIN(T102+AD103-AN103,MAX(0,ROUND(ROUND(Долги!$D$19-SUM($AL103:$AU103),2)-(SUM($H103:I103)-SUM($AL103:AM103)),2)))</f>
        <v>0.0</v>
      </c>
      <c r="K103" s="31">
        <f>AO103+MIN(U102+AE103-AO103,MAX(0,ROUND(ROUND(Долги!$D$19-SUM($AL103:$AU103),2)-(SUM($H103:J103)-SUM($AL103:AN103)),2)))</f>
        <v>0.0</v>
      </c>
      <c r="L103" s="31">
        <f>AP103+MIN(V102+AF103-AP103,MAX(0,ROUND(ROUND(Долги!$D$19-SUM($AL103:$AU103),2)-(SUM($H103:K103)-SUM($AL103:AO103)),2)))</f>
        <v>0.0</v>
      </c>
      <c r="M103" s="31">
        <f>AQ103+MIN(W102+AG103-AQ103,MAX(0,ROUND(ROUND(Долги!$D$19-SUM($AL103:$AU103),2)-(SUM($H103:L103)-SUM($AL103:AP103)),2)))</f>
        <v>0.0</v>
      </c>
      <c r="N103" s="31">
        <f>AR103+MIN(X102+AH103-AR103,MAX(0,ROUND(ROUND(Долги!$D$19-SUM($AL103:$AU103),2)-(SUM($H103:M103)-SUM($AL103:AQ103)),2)))</f>
        <v>0.0</v>
      </c>
      <c r="O103" s="31">
        <f>AS103+MIN(Y102+AI103-AS103,MAX(0,ROUND(ROUND(Долги!$D$19-SUM($AL103:$AU103),2)-(SUM($H103:N103)-SUM($AL103:AR103)),2)))</f>
        <v>0.0</v>
      </c>
      <c r="P103" s="31">
        <f>AT103+MIN(Z102+AJ103-AT103,MAX(0,ROUND(ROUND(Долги!$D$19-SUM($AL103:$AU103),2)-(SUM($H103:O103)-SUM($AL103:AS103)),2)))</f>
        <v>0.0</v>
      </c>
      <c r="Q103" s="31">
        <f>AU103+MIN(AA102+AK103-AU103,MAX(0,ROUND(ROUND(Долги!$D$19-SUM($AL103:$AU103),2)-(SUM($H103:P103)-SUM($AL103:AT103)),2)))</f>
        <v>0.0</v>
      </c>
      <c r="R103" s="31">
        <f>IF(R102+AB103-H103&lt;=0.01,0,ROUND(R102+AB103-H103,2))</f>
        <v>0.0</v>
      </c>
      <c r="S103" s="31">
        <f>IF(S102+AC103-I103&lt;=0.01,0,ROUND(S102+AC103-I103,2))</f>
        <v>0.0</v>
      </c>
      <c r="T103" s="31">
        <f>IF(T102+AD103-J103&lt;=0.01,0,ROUND(T102+AD103-J103,2))</f>
        <v>0.0</v>
      </c>
      <c r="U103" s="31">
        <f>IF(U102+AE103-K103&lt;=0.01,0,ROUND(U102+AE103-K103,2))</f>
        <v>0.0</v>
      </c>
      <c r="V103" s="31">
        <f>IF(V102+AF103-L103&lt;=0.01,0,ROUND(V102+AF103-L103,2))</f>
        <v>0.0</v>
      </c>
      <c r="W103" s="31">
        <f>IF(W102+AG103-M103&lt;=0.01,0,ROUND(W102+AG103-M103,2))</f>
        <v>0.0</v>
      </c>
      <c r="X103" s="31">
        <f>IF(X102+AH103-N103&lt;=0.01,0,ROUND(X102+AH103-N103,2))</f>
        <v>0.0</v>
      </c>
      <c r="Y103" s="31">
        <f>IF(Y102+AI103-O103&lt;=0.01,0,ROUND(Y102+AI103-O103,2))</f>
        <v>0.0</v>
      </c>
      <c r="Z103" s="31">
        <f>IF(Z102+AJ103-P103&lt;=0.01,0,ROUND(Z102+AJ103-P103,2))</f>
        <v>0.0</v>
      </c>
      <c r="AA103" s="31">
        <f>IF(AA102+AK103-Q103&lt;=0.01,0,ROUND(AA102+AK103-Q103,2))</f>
        <v>0.0</v>
      </c>
      <c r="AB103" s="31">
        <f>ROUND(R102*AB$5/1200,2)</f>
        <v>0.0</v>
      </c>
      <c r="AC103" s="31">
        <f>ROUND(S102*AC$5/1200,2)</f>
        <v>0.0</v>
      </c>
      <c r="AD103" s="31">
        <f>ROUND(T102*AD$5/1200,2)</f>
        <v>0.0</v>
      </c>
      <c r="AE103" s="31">
        <f>ROUND(U102*AE$5/1200,2)</f>
        <v>0.0</v>
      </c>
      <c r="AF103" s="31">
        <f>ROUND(V102*AF$5/1200,2)</f>
        <v>0.0</v>
      </c>
      <c r="AG103" s="31">
        <f>ROUND(W102*AG$5/1200,2)</f>
        <v>0.0</v>
      </c>
      <c r="AH103" s="31">
        <f>ROUND(X102*AH$5/1200,2)</f>
        <v>0.0</v>
      </c>
      <c r="AI103" s="31">
        <f>ROUND(Y102*AI$5/1200,2)</f>
        <v>0.0</v>
      </c>
      <c r="AJ103" s="31">
        <f>ROUND(Z102*AJ$5/1200,2)</f>
        <v>0.0</v>
      </c>
      <c r="AK103" s="31">
        <f>ROUND(AA102*AK$5/1200,2)</f>
        <v>0.0</v>
      </c>
      <c r="AL103" s="31">
        <f>MIN(AL$5,R102+AB103)</f>
        <v>0.0</v>
      </c>
      <c r="AM103" s="31">
        <f>MIN(AM$5,S102+AC103)</f>
        <v>0.0</v>
      </c>
      <c r="AN103" s="31">
        <f>MIN(AN$5,T102+AD103)</f>
        <v>0.0</v>
      </c>
      <c r="AO103" s="31">
        <f>MIN(AO$5,U102+AE103)</f>
        <v>0.0</v>
      </c>
      <c r="AP103" s="31">
        <f>MIN(AP$5,V102+AF103)</f>
        <v>0.0</v>
      </c>
      <c r="AQ103" s="31">
        <f>MIN(AQ$5,W102+AG103)</f>
        <v>0.0</v>
      </c>
      <c r="AR103" s="31">
        <f>MIN(AR$5,X102+AH103)</f>
        <v>0.0</v>
      </c>
      <c r="AS103" s="31">
        <f>MIN(AS$5,Y102+AI103)</f>
        <v>0.0</v>
      </c>
      <c r="AT103" s="31">
        <f>MIN(AT$5,Z102+AJ103)</f>
        <v>0.0</v>
      </c>
      <c r="AU103" s="31">
        <f>MIN(AU$5,AA102+AK103)</f>
        <v>0.0</v>
      </c>
    </row>
    <row r="104">
      <c r="A104" s="25" t="str">
        <f>IF(F103&gt;0.005,99,"")</f>
        <v/>
      </c>
      <c r="B104" s="33" t="str">
        <f>IF(A104="","",EDATE(Долги!$D$5,98))</f>
        <v/>
      </c>
      <c r="C104" s="31">
        <f>SUM(H104:Q104)</f>
        <v>0.0</v>
      </c>
      <c r="D104" s="31">
        <f>SUM(AB104:AK104)</f>
        <v>0.0</v>
      </c>
      <c r="E104" s="31">
        <f>C104-D104</f>
        <v>0.0</v>
      </c>
      <c r="F104" s="31">
        <f>SUM(R104:AA104)</f>
        <v>0.0</v>
      </c>
      <c r="G104" s="34" t="str">
        <f>IF(OR(A104="",$F$5&lt;=0),"",REPT("█",ROUND(20*F104/$F$5,0)))</f>
        <v/>
      </c>
      <c r="H104" s="31">
        <f>AL104+MIN(R103+AB104-AL104,MAX(0,ROUND(Долги!$D$19-SUM($AL104:$AU104),2)))</f>
        <v>0.0</v>
      </c>
      <c r="I104" s="31">
        <f>AM104+MIN(S103+AC104-AM104,MAX(0,ROUND(ROUND(Долги!$D$19-SUM($AL104:$AU104),2)-(SUM($H104:H104)-SUM($AL104:AL104)),2)))</f>
        <v>0.0</v>
      </c>
      <c r="J104" s="31">
        <f>AN104+MIN(T103+AD104-AN104,MAX(0,ROUND(ROUND(Долги!$D$19-SUM($AL104:$AU104),2)-(SUM($H104:I104)-SUM($AL104:AM104)),2)))</f>
        <v>0.0</v>
      </c>
      <c r="K104" s="31">
        <f>AO104+MIN(U103+AE104-AO104,MAX(0,ROUND(ROUND(Долги!$D$19-SUM($AL104:$AU104),2)-(SUM($H104:J104)-SUM($AL104:AN104)),2)))</f>
        <v>0.0</v>
      </c>
      <c r="L104" s="31">
        <f>AP104+MIN(V103+AF104-AP104,MAX(0,ROUND(ROUND(Долги!$D$19-SUM($AL104:$AU104),2)-(SUM($H104:K104)-SUM($AL104:AO104)),2)))</f>
        <v>0.0</v>
      </c>
      <c r="M104" s="31">
        <f>AQ104+MIN(W103+AG104-AQ104,MAX(0,ROUND(ROUND(Долги!$D$19-SUM($AL104:$AU104),2)-(SUM($H104:L104)-SUM($AL104:AP104)),2)))</f>
        <v>0.0</v>
      </c>
      <c r="N104" s="31">
        <f>AR104+MIN(X103+AH104-AR104,MAX(0,ROUND(ROUND(Долги!$D$19-SUM($AL104:$AU104),2)-(SUM($H104:M104)-SUM($AL104:AQ104)),2)))</f>
        <v>0.0</v>
      </c>
      <c r="O104" s="31">
        <f>AS104+MIN(Y103+AI104-AS104,MAX(0,ROUND(ROUND(Долги!$D$19-SUM($AL104:$AU104),2)-(SUM($H104:N104)-SUM($AL104:AR104)),2)))</f>
        <v>0.0</v>
      </c>
      <c r="P104" s="31">
        <f>AT104+MIN(Z103+AJ104-AT104,MAX(0,ROUND(ROUND(Долги!$D$19-SUM($AL104:$AU104),2)-(SUM($H104:O104)-SUM($AL104:AS104)),2)))</f>
        <v>0.0</v>
      </c>
      <c r="Q104" s="31">
        <f>AU104+MIN(AA103+AK104-AU104,MAX(0,ROUND(ROUND(Долги!$D$19-SUM($AL104:$AU104),2)-(SUM($H104:P104)-SUM($AL104:AT104)),2)))</f>
        <v>0.0</v>
      </c>
      <c r="R104" s="31">
        <f>IF(R103+AB104-H104&lt;=0.01,0,ROUND(R103+AB104-H104,2))</f>
        <v>0.0</v>
      </c>
      <c r="S104" s="31">
        <f>IF(S103+AC104-I104&lt;=0.01,0,ROUND(S103+AC104-I104,2))</f>
        <v>0.0</v>
      </c>
      <c r="T104" s="31">
        <f>IF(T103+AD104-J104&lt;=0.01,0,ROUND(T103+AD104-J104,2))</f>
        <v>0.0</v>
      </c>
      <c r="U104" s="31">
        <f>IF(U103+AE104-K104&lt;=0.01,0,ROUND(U103+AE104-K104,2))</f>
        <v>0.0</v>
      </c>
      <c r="V104" s="31">
        <f>IF(V103+AF104-L104&lt;=0.01,0,ROUND(V103+AF104-L104,2))</f>
        <v>0.0</v>
      </c>
      <c r="W104" s="31">
        <f>IF(W103+AG104-M104&lt;=0.01,0,ROUND(W103+AG104-M104,2))</f>
        <v>0.0</v>
      </c>
      <c r="X104" s="31">
        <f>IF(X103+AH104-N104&lt;=0.01,0,ROUND(X103+AH104-N104,2))</f>
        <v>0.0</v>
      </c>
      <c r="Y104" s="31">
        <f>IF(Y103+AI104-O104&lt;=0.01,0,ROUND(Y103+AI104-O104,2))</f>
        <v>0.0</v>
      </c>
      <c r="Z104" s="31">
        <f>IF(Z103+AJ104-P104&lt;=0.01,0,ROUND(Z103+AJ104-P104,2))</f>
        <v>0.0</v>
      </c>
      <c r="AA104" s="31">
        <f>IF(AA103+AK104-Q104&lt;=0.01,0,ROUND(AA103+AK104-Q104,2))</f>
        <v>0.0</v>
      </c>
      <c r="AB104" s="31">
        <f>ROUND(R103*AB$5/1200,2)</f>
        <v>0.0</v>
      </c>
      <c r="AC104" s="31">
        <f>ROUND(S103*AC$5/1200,2)</f>
        <v>0.0</v>
      </c>
      <c r="AD104" s="31">
        <f>ROUND(T103*AD$5/1200,2)</f>
        <v>0.0</v>
      </c>
      <c r="AE104" s="31">
        <f>ROUND(U103*AE$5/1200,2)</f>
        <v>0.0</v>
      </c>
      <c r="AF104" s="31">
        <f>ROUND(V103*AF$5/1200,2)</f>
        <v>0.0</v>
      </c>
      <c r="AG104" s="31">
        <f>ROUND(W103*AG$5/1200,2)</f>
        <v>0.0</v>
      </c>
      <c r="AH104" s="31">
        <f>ROUND(X103*AH$5/1200,2)</f>
        <v>0.0</v>
      </c>
      <c r="AI104" s="31">
        <f>ROUND(Y103*AI$5/1200,2)</f>
        <v>0.0</v>
      </c>
      <c r="AJ104" s="31">
        <f>ROUND(Z103*AJ$5/1200,2)</f>
        <v>0.0</v>
      </c>
      <c r="AK104" s="31">
        <f>ROUND(AA103*AK$5/1200,2)</f>
        <v>0.0</v>
      </c>
      <c r="AL104" s="31">
        <f>MIN(AL$5,R103+AB104)</f>
        <v>0.0</v>
      </c>
      <c r="AM104" s="31">
        <f>MIN(AM$5,S103+AC104)</f>
        <v>0.0</v>
      </c>
      <c r="AN104" s="31">
        <f>MIN(AN$5,T103+AD104)</f>
        <v>0.0</v>
      </c>
      <c r="AO104" s="31">
        <f>MIN(AO$5,U103+AE104)</f>
        <v>0.0</v>
      </c>
      <c r="AP104" s="31">
        <f>MIN(AP$5,V103+AF104)</f>
        <v>0.0</v>
      </c>
      <c r="AQ104" s="31">
        <f>MIN(AQ$5,W103+AG104)</f>
        <v>0.0</v>
      </c>
      <c r="AR104" s="31">
        <f>MIN(AR$5,X103+AH104)</f>
        <v>0.0</v>
      </c>
      <c r="AS104" s="31">
        <f>MIN(AS$5,Y103+AI104)</f>
        <v>0.0</v>
      </c>
      <c r="AT104" s="31">
        <f>MIN(AT$5,Z103+AJ104)</f>
        <v>0.0</v>
      </c>
      <c r="AU104" s="31">
        <f>MIN(AU$5,AA103+AK104)</f>
        <v>0.0</v>
      </c>
    </row>
    <row r="105">
      <c r="A105" s="25" t="str">
        <f>IF(F104&gt;0.005,100,"")</f>
        <v/>
      </c>
      <c r="B105" s="33" t="str">
        <f>IF(A105="","",EDATE(Долги!$D$5,99))</f>
        <v/>
      </c>
      <c r="C105" s="31">
        <f>SUM(H105:Q105)</f>
        <v>0.0</v>
      </c>
      <c r="D105" s="31">
        <f>SUM(AB105:AK105)</f>
        <v>0.0</v>
      </c>
      <c r="E105" s="31">
        <f>C105-D105</f>
        <v>0.0</v>
      </c>
      <c r="F105" s="31">
        <f>SUM(R105:AA105)</f>
        <v>0.0</v>
      </c>
      <c r="G105" s="34" t="str">
        <f>IF(OR(A105="",$F$5&lt;=0),"",REPT("█",ROUND(20*F105/$F$5,0)))</f>
        <v/>
      </c>
      <c r="H105" s="31">
        <f>AL105+MIN(R104+AB105-AL105,MAX(0,ROUND(Долги!$D$19-SUM($AL105:$AU105),2)))</f>
        <v>0.0</v>
      </c>
      <c r="I105" s="31">
        <f>AM105+MIN(S104+AC105-AM105,MAX(0,ROUND(ROUND(Долги!$D$19-SUM($AL105:$AU105),2)-(SUM($H105:H105)-SUM($AL105:AL105)),2)))</f>
        <v>0.0</v>
      </c>
      <c r="J105" s="31">
        <f>AN105+MIN(T104+AD105-AN105,MAX(0,ROUND(ROUND(Долги!$D$19-SUM($AL105:$AU105),2)-(SUM($H105:I105)-SUM($AL105:AM105)),2)))</f>
        <v>0.0</v>
      </c>
      <c r="K105" s="31">
        <f>AO105+MIN(U104+AE105-AO105,MAX(0,ROUND(ROUND(Долги!$D$19-SUM($AL105:$AU105),2)-(SUM($H105:J105)-SUM($AL105:AN105)),2)))</f>
        <v>0.0</v>
      </c>
      <c r="L105" s="31">
        <f>AP105+MIN(V104+AF105-AP105,MAX(0,ROUND(ROUND(Долги!$D$19-SUM($AL105:$AU105),2)-(SUM($H105:K105)-SUM($AL105:AO105)),2)))</f>
        <v>0.0</v>
      </c>
      <c r="M105" s="31">
        <f>AQ105+MIN(W104+AG105-AQ105,MAX(0,ROUND(ROUND(Долги!$D$19-SUM($AL105:$AU105),2)-(SUM($H105:L105)-SUM($AL105:AP105)),2)))</f>
        <v>0.0</v>
      </c>
      <c r="N105" s="31">
        <f>AR105+MIN(X104+AH105-AR105,MAX(0,ROUND(ROUND(Долги!$D$19-SUM($AL105:$AU105),2)-(SUM($H105:M105)-SUM($AL105:AQ105)),2)))</f>
        <v>0.0</v>
      </c>
      <c r="O105" s="31">
        <f>AS105+MIN(Y104+AI105-AS105,MAX(0,ROUND(ROUND(Долги!$D$19-SUM($AL105:$AU105),2)-(SUM($H105:N105)-SUM($AL105:AR105)),2)))</f>
        <v>0.0</v>
      </c>
      <c r="P105" s="31">
        <f>AT105+MIN(Z104+AJ105-AT105,MAX(0,ROUND(ROUND(Долги!$D$19-SUM($AL105:$AU105),2)-(SUM($H105:O105)-SUM($AL105:AS105)),2)))</f>
        <v>0.0</v>
      </c>
      <c r="Q105" s="31">
        <f>AU105+MIN(AA104+AK105-AU105,MAX(0,ROUND(ROUND(Долги!$D$19-SUM($AL105:$AU105),2)-(SUM($H105:P105)-SUM($AL105:AT105)),2)))</f>
        <v>0.0</v>
      </c>
      <c r="R105" s="31">
        <f>IF(R104+AB105-H105&lt;=0.01,0,ROUND(R104+AB105-H105,2))</f>
        <v>0.0</v>
      </c>
      <c r="S105" s="31">
        <f>IF(S104+AC105-I105&lt;=0.01,0,ROUND(S104+AC105-I105,2))</f>
        <v>0.0</v>
      </c>
      <c r="T105" s="31">
        <f>IF(T104+AD105-J105&lt;=0.01,0,ROUND(T104+AD105-J105,2))</f>
        <v>0.0</v>
      </c>
      <c r="U105" s="31">
        <f>IF(U104+AE105-K105&lt;=0.01,0,ROUND(U104+AE105-K105,2))</f>
        <v>0.0</v>
      </c>
      <c r="V105" s="31">
        <f>IF(V104+AF105-L105&lt;=0.01,0,ROUND(V104+AF105-L105,2))</f>
        <v>0.0</v>
      </c>
      <c r="W105" s="31">
        <f>IF(W104+AG105-M105&lt;=0.01,0,ROUND(W104+AG105-M105,2))</f>
        <v>0.0</v>
      </c>
      <c r="X105" s="31">
        <f>IF(X104+AH105-N105&lt;=0.01,0,ROUND(X104+AH105-N105,2))</f>
        <v>0.0</v>
      </c>
      <c r="Y105" s="31">
        <f>IF(Y104+AI105-O105&lt;=0.01,0,ROUND(Y104+AI105-O105,2))</f>
        <v>0.0</v>
      </c>
      <c r="Z105" s="31">
        <f>IF(Z104+AJ105-P105&lt;=0.01,0,ROUND(Z104+AJ105-P105,2))</f>
        <v>0.0</v>
      </c>
      <c r="AA105" s="31">
        <f>IF(AA104+AK105-Q105&lt;=0.01,0,ROUND(AA104+AK105-Q105,2))</f>
        <v>0.0</v>
      </c>
      <c r="AB105" s="31">
        <f>ROUND(R104*AB$5/1200,2)</f>
        <v>0.0</v>
      </c>
      <c r="AC105" s="31">
        <f>ROUND(S104*AC$5/1200,2)</f>
        <v>0.0</v>
      </c>
      <c r="AD105" s="31">
        <f>ROUND(T104*AD$5/1200,2)</f>
        <v>0.0</v>
      </c>
      <c r="AE105" s="31">
        <f>ROUND(U104*AE$5/1200,2)</f>
        <v>0.0</v>
      </c>
      <c r="AF105" s="31">
        <f>ROUND(V104*AF$5/1200,2)</f>
        <v>0.0</v>
      </c>
      <c r="AG105" s="31">
        <f>ROUND(W104*AG$5/1200,2)</f>
        <v>0.0</v>
      </c>
      <c r="AH105" s="31">
        <f>ROUND(X104*AH$5/1200,2)</f>
        <v>0.0</v>
      </c>
      <c r="AI105" s="31">
        <f>ROUND(Y104*AI$5/1200,2)</f>
        <v>0.0</v>
      </c>
      <c r="AJ105" s="31">
        <f>ROUND(Z104*AJ$5/1200,2)</f>
        <v>0.0</v>
      </c>
      <c r="AK105" s="31">
        <f>ROUND(AA104*AK$5/1200,2)</f>
        <v>0.0</v>
      </c>
      <c r="AL105" s="31">
        <f>MIN(AL$5,R104+AB105)</f>
        <v>0.0</v>
      </c>
      <c r="AM105" s="31">
        <f>MIN(AM$5,S104+AC105)</f>
        <v>0.0</v>
      </c>
      <c r="AN105" s="31">
        <f>MIN(AN$5,T104+AD105)</f>
        <v>0.0</v>
      </c>
      <c r="AO105" s="31">
        <f>MIN(AO$5,U104+AE105)</f>
        <v>0.0</v>
      </c>
      <c r="AP105" s="31">
        <f>MIN(AP$5,V104+AF105)</f>
        <v>0.0</v>
      </c>
      <c r="AQ105" s="31">
        <f>MIN(AQ$5,W104+AG105)</f>
        <v>0.0</v>
      </c>
      <c r="AR105" s="31">
        <f>MIN(AR$5,X104+AH105)</f>
        <v>0.0</v>
      </c>
      <c r="AS105" s="31">
        <f>MIN(AS$5,Y104+AI105)</f>
        <v>0.0</v>
      </c>
      <c r="AT105" s="31">
        <f>MIN(AT$5,Z104+AJ105)</f>
        <v>0.0</v>
      </c>
      <c r="AU105" s="31">
        <f>MIN(AU$5,AA104+AK105)</f>
        <v>0.0</v>
      </c>
    </row>
    <row r="106">
      <c r="A106" s="25" t="str">
        <f>IF(F105&gt;0.005,101,"")</f>
        <v/>
      </c>
      <c r="B106" s="33" t="str">
        <f>IF(A106="","",EDATE(Долги!$D$5,100))</f>
        <v/>
      </c>
      <c r="C106" s="31">
        <f>SUM(H106:Q106)</f>
        <v>0.0</v>
      </c>
      <c r="D106" s="31">
        <f>SUM(AB106:AK106)</f>
        <v>0.0</v>
      </c>
      <c r="E106" s="31">
        <f>C106-D106</f>
        <v>0.0</v>
      </c>
      <c r="F106" s="31">
        <f>SUM(R106:AA106)</f>
        <v>0.0</v>
      </c>
      <c r="G106" s="34" t="str">
        <f>IF(OR(A106="",$F$5&lt;=0),"",REPT("█",ROUND(20*F106/$F$5,0)))</f>
        <v/>
      </c>
      <c r="H106" s="31">
        <f>AL106+MIN(R105+AB106-AL106,MAX(0,ROUND(Долги!$D$19-SUM($AL106:$AU106),2)))</f>
        <v>0.0</v>
      </c>
      <c r="I106" s="31">
        <f>AM106+MIN(S105+AC106-AM106,MAX(0,ROUND(ROUND(Долги!$D$19-SUM($AL106:$AU106),2)-(SUM($H106:H106)-SUM($AL106:AL106)),2)))</f>
        <v>0.0</v>
      </c>
      <c r="J106" s="31">
        <f>AN106+MIN(T105+AD106-AN106,MAX(0,ROUND(ROUND(Долги!$D$19-SUM($AL106:$AU106),2)-(SUM($H106:I106)-SUM($AL106:AM106)),2)))</f>
        <v>0.0</v>
      </c>
      <c r="K106" s="31">
        <f>AO106+MIN(U105+AE106-AO106,MAX(0,ROUND(ROUND(Долги!$D$19-SUM($AL106:$AU106),2)-(SUM($H106:J106)-SUM($AL106:AN106)),2)))</f>
        <v>0.0</v>
      </c>
      <c r="L106" s="31">
        <f>AP106+MIN(V105+AF106-AP106,MAX(0,ROUND(ROUND(Долги!$D$19-SUM($AL106:$AU106),2)-(SUM($H106:K106)-SUM($AL106:AO106)),2)))</f>
        <v>0.0</v>
      </c>
      <c r="M106" s="31">
        <f>AQ106+MIN(W105+AG106-AQ106,MAX(0,ROUND(ROUND(Долги!$D$19-SUM($AL106:$AU106),2)-(SUM($H106:L106)-SUM($AL106:AP106)),2)))</f>
        <v>0.0</v>
      </c>
      <c r="N106" s="31">
        <f>AR106+MIN(X105+AH106-AR106,MAX(0,ROUND(ROUND(Долги!$D$19-SUM($AL106:$AU106),2)-(SUM($H106:M106)-SUM($AL106:AQ106)),2)))</f>
        <v>0.0</v>
      </c>
      <c r="O106" s="31">
        <f>AS106+MIN(Y105+AI106-AS106,MAX(0,ROUND(ROUND(Долги!$D$19-SUM($AL106:$AU106),2)-(SUM($H106:N106)-SUM($AL106:AR106)),2)))</f>
        <v>0.0</v>
      </c>
      <c r="P106" s="31">
        <f>AT106+MIN(Z105+AJ106-AT106,MAX(0,ROUND(ROUND(Долги!$D$19-SUM($AL106:$AU106),2)-(SUM($H106:O106)-SUM($AL106:AS106)),2)))</f>
        <v>0.0</v>
      </c>
      <c r="Q106" s="31">
        <f>AU106+MIN(AA105+AK106-AU106,MAX(0,ROUND(ROUND(Долги!$D$19-SUM($AL106:$AU106),2)-(SUM($H106:P106)-SUM($AL106:AT106)),2)))</f>
        <v>0.0</v>
      </c>
      <c r="R106" s="31">
        <f>IF(R105+AB106-H106&lt;=0.01,0,ROUND(R105+AB106-H106,2))</f>
        <v>0.0</v>
      </c>
      <c r="S106" s="31">
        <f>IF(S105+AC106-I106&lt;=0.01,0,ROUND(S105+AC106-I106,2))</f>
        <v>0.0</v>
      </c>
      <c r="T106" s="31">
        <f>IF(T105+AD106-J106&lt;=0.01,0,ROUND(T105+AD106-J106,2))</f>
        <v>0.0</v>
      </c>
      <c r="U106" s="31">
        <f>IF(U105+AE106-K106&lt;=0.01,0,ROUND(U105+AE106-K106,2))</f>
        <v>0.0</v>
      </c>
      <c r="V106" s="31">
        <f>IF(V105+AF106-L106&lt;=0.01,0,ROUND(V105+AF106-L106,2))</f>
        <v>0.0</v>
      </c>
      <c r="W106" s="31">
        <f>IF(W105+AG106-M106&lt;=0.01,0,ROUND(W105+AG106-M106,2))</f>
        <v>0.0</v>
      </c>
      <c r="X106" s="31">
        <f>IF(X105+AH106-N106&lt;=0.01,0,ROUND(X105+AH106-N106,2))</f>
        <v>0.0</v>
      </c>
      <c r="Y106" s="31">
        <f>IF(Y105+AI106-O106&lt;=0.01,0,ROUND(Y105+AI106-O106,2))</f>
        <v>0.0</v>
      </c>
      <c r="Z106" s="31">
        <f>IF(Z105+AJ106-P106&lt;=0.01,0,ROUND(Z105+AJ106-P106,2))</f>
        <v>0.0</v>
      </c>
      <c r="AA106" s="31">
        <f>IF(AA105+AK106-Q106&lt;=0.01,0,ROUND(AA105+AK106-Q106,2))</f>
        <v>0.0</v>
      </c>
      <c r="AB106" s="31">
        <f>ROUND(R105*AB$5/1200,2)</f>
        <v>0.0</v>
      </c>
      <c r="AC106" s="31">
        <f>ROUND(S105*AC$5/1200,2)</f>
        <v>0.0</v>
      </c>
      <c r="AD106" s="31">
        <f>ROUND(T105*AD$5/1200,2)</f>
        <v>0.0</v>
      </c>
      <c r="AE106" s="31">
        <f>ROUND(U105*AE$5/1200,2)</f>
        <v>0.0</v>
      </c>
      <c r="AF106" s="31">
        <f>ROUND(V105*AF$5/1200,2)</f>
        <v>0.0</v>
      </c>
      <c r="AG106" s="31">
        <f>ROUND(W105*AG$5/1200,2)</f>
        <v>0.0</v>
      </c>
      <c r="AH106" s="31">
        <f>ROUND(X105*AH$5/1200,2)</f>
        <v>0.0</v>
      </c>
      <c r="AI106" s="31">
        <f>ROUND(Y105*AI$5/1200,2)</f>
        <v>0.0</v>
      </c>
      <c r="AJ106" s="31">
        <f>ROUND(Z105*AJ$5/1200,2)</f>
        <v>0.0</v>
      </c>
      <c r="AK106" s="31">
        <f>ROUND(AA105*AK$5/1200,2)</f>
        <v>0.0</v>
      </c>
      <c r="AL106" s="31">
        <f>MIN(AL$5,R105+AB106)</f>
        <v>0.0</v>
      </c>
      <c r="AM106" s="31">
        <f>MIN(AM$5,S105+AC106)</f>
        <v>0.0</v>
      </c>
      <c r="AN106" s="31">
        <f>MIN(AN$5,T105+AD106)</f>
        <v>0.0</v>
      </c>
      <c r="AO106" s="31">
        <f>MIN(AO$5,U105+AE106)</f>
        <v>0.0</v>
      </c>
      <c r="AP106" s="31">
        <f>MIN(AP$5,V105+AF106)</f>
        <v>0.0</v>
      </c>
      <c r="AQ106" s="31">
        <f>MIN(AQ$5,W105+AG106)</f>
        <v>0.0</v>
      </c>
      <c r="AR106" s="31">
        <f>MIN(AR$5,X105+AH106)</f>
        <v>0.0</v>
      </c>
      <c r="AS106" s="31">
        <f>MIN(AS$5,Y105+AI106)</f>
        <v>0.0</v>
      </c>
      <c r="AT106" s="31">
        <f>MIN(AT$5,Z105+AJ106)</f>
        <v>0.0</v>
      </c>
      <c r="AU106" s="31">
        <f>MIN(AU$5,AA105+AK106)</f>
        <v>0.0</v>
      </c>
    </row>
    <row r="107">
      <c r="A107" s="25" t="str">
        <f>IF(F106&gt;0.005,102,"")</f>
        <v/>
      </c>
      <c r="B107" s="33" t="str">
        <f>IF(A107="","",EDATE(Долги!$D$5,101))</f>
        <v/>
      </c>
      <c r="C107" s="31">
        <f>SUM(H107:Q107)</f>
        <v>0.0</v>
      </c>
      <c r="D107" s="31">
        <f>SUM(AB107:AK107)</f>
        <v>0.0</v>
      </c>
      <c r="E107" s="31">
        <f>C107-D107</f>
        <v>0.0</v>
      </c>
      <c r="F107" s="31">
        <f>SUM(R107:AA107)</f>
        <v>0.0</v>
      </c>
      <c r="G107" s="34" t="str">
        <f>IF(OR(A107="",$F$5&lt;=0),"",REPT("█",ROUND(20*F107/$F$5,0)))</f>
        <v/>
      </c>
      <c r="H107" s="31">
        <f>AL107+MIN(R106+AB107-AL107,MAX(0,ROUND(Долги!$D$19-SUM($AL107:$AU107),2)))</f>
        <v>0.0</v>
      </c>
      <c r="I107" s="31">
        <f>AM107+MIN(S106+AC107-AM107,MAX(0,ROUND(ROUND(Долги!$D$19-SUM($AL107:$AU107),2)-(SUM($H107:H107)-SUM($AL107:AL107)),2)))</f>
        <v>0.0</v>
      </c>
      <c r="J107" s="31">
        <f>AN107+MIN(T106+AD107-AN107,MAX(0,ROUND(ROUND(Долги!$D$19-SUM($AL107:$AU107),2)-(SUM($H107:I107)-SUM($AL107:AM107)),2)))</f>
        <v>0.0</v>
      </c>
      <c r="K107" s="31">
        <f>AO107+MIN(U106+AE107-AO107,MAX(0,ROUND(ROUND(Долги!$D$19-SUM($AL107:$AU107),2)-(SUM($H107:J107)-SUM($AL107:AN107)),2)))</f>
        <v>0.0</v>
      </c>
      <c r="L107" s="31">
        <f>AP107+MIN(V106+AF107-AP107,MAX(0,ROUND(ROUND(Долги!$D$19-SUM($AL107:$AU107),2)-(SUM($H107:K107)-SUM($AL107:AO107)),2)))</f>
        <v>0.0</v>
      </c>
      <c r="M107" s="31">
        <f>AQ107+MIN(W106+AG107-AQ107,MAX(0,ROUND(ROUND(Долги!$D$19-SUM($AL107:$AU107),2)-(SUM($H107:L107)-SUM($AL107:AP107)),2)))</f>
        <v>0.0</v>
      </c>
      <c r="N107" s="31">
        <f>AR107+MIN(X106+AH107-AR107,MAX(0,ROUND(ROUND(Долги!$D$19-SUM($AL107:$AU107),2)-(SUM($H107:M107)-SUM($AL107:AQ107)),2)))</f>
        <v>0.0</v>
      </c>
      <c r="O107" s="31">
        <f>AS107+MIN(Y106+AI107-AS107,MAX(0,ROUND(ROUND(Долги!$D$19-SUM($AL107:$AU107),2)-(SUM($H107:N107)-SUM($AL107:AR107)),2)))</f>
        <v>0.0</v>
      </c>
      <c r="P107" s="31">
        <f>AT107+MIN(Z106+AJ107-AT107,MAX(0,ROUND(ROUND(Долги!$D$19-SUM($AL107:$AU107),2)-(SUM($H107:O107)-SUM($AL107:AS107)),2)))</f>
        <v>0.0</v>
      </c>
      <c r="Q107" s="31">
        <f>AU107+MIN(AA106+AK107-AU107,MAX(0,ROUND(ROUND(Долги!$D$19-SUM($AL107:$AU107),2)-(SUM($H107:P107)-SUM($AL107:AT107)),2)))</f>
        <v>0.0</v>
      </c>
      <c r="R107" s="31">
        <f>IF(R106+AB107-H107&lt;=0.01,0,ROUND(R106+AB107-H107,2))</f>
        <v>0.0</v>
      </c>
      <c r="S107" s="31">
        <f>IF(S106+AC107-I107&lt;=0.01,0,ROUND(S106+AC107-I107,2))</f>
        <v>0.0</v>
      </c>
      <c r="T107" s="31">
        <f>IF(T106+AD107-J107&lt;=0.01,0,ROUND(T106+AD107-J107,2))</f>
        <v>0.0</v>
      </c>
      <c r="U107" s="31">
        <f>IF(U106+AE107-K107&lt;=0.01,0,ROUND(U106+AE107-K107,2))</f>
        <v>0.0</v>
      </c>
      <c r="V107" s="31">
        <f>IF(V106+AF107-L107&lt;=0.01,0,ROUND(V106+AF107-L107,2))</f>
        <v>0.0</v>
      </c>
      <c r="W107" s="31">
        <f>IF(W106+AG107-M107&lt;=0.01,0,ROUND(W106+AG107-M107,2))</f>
        <v>0.0</v>
      </c>
      <c r="X107" s="31">
        <f>IF(X106+AH107-N107&lt;=0.01,0,ROUND(X106+AH107-N107,2))</f>
        <v>0.0</v>
      </c>
      <c r="Y107" s="31">
        <f>IF(Y106+AI107-O107&lt;=0.01,0,ROUND(Y106+AI107-O107,2))</f>
        <v>0.0</v>
      </c>
      <c r="Z107" s="31">
        <f>IF(Z106+AJ107-P107&lt;=0.01,0,ROUND(Z106+AJ107-P107,2))</f>
        <v>0.0</v>
      </c>
      <c r="AA107" s="31">
        <f>IF(AA106+AK107-Q107&lt;=0.01,0,ROUND(AA106+AK107-Q107,2))</f>
        <v>0.0</v>
      </c>
      <c r="AB107" s="31">
        <f>ROUND(R106*AB$5/1200,2)</f>
        <v>0.0</v>
      </c>
      <c r="AC107" s="31">
        <f>ROUND(S106*AC$5/1200,2)</f>
        <v>0.0</v>
      </c>
      <c r="AD107" s="31">
        <f>ROUND(T106*AD$5/1200,2)</f>
        <v>0.0</v>
      </c>
      <c r="AE107" s="31">
        <f>ROUND(U106*AE$5/1200,2)</f>
        <v>0.0</v>
      </c>
      <c r="AF107" s="31">
        <f>ROUND(V106*AF$5/1200,2)</f>
        <v>0.0</v>
      </c>
      <c r="AG107" s="31">
        <f>ROUND(W106*AG$5/1200,2)</f>
        <v>0.0</v>
      </c>
      <c r="AH107" s="31">
        <f>ROUND(X106*AH$5/1200,2)</f>
        <v>0.0</v>
      </c>
      <c r="AI107" s="31">
        <f>ROUND(Y106*AI$5/1200,2)</f>
        <v>0.0</v>
      </c>
      <c r="AJ107" s="31">
        <f>ROUND(Z106*AJ$5/1200,2)</f>
        <v>0.0</v>
      </c>
      <c r="AK107" s="31">
        <f>ROUND(AA106*AK$5/1200,2)</f>
        <v>0.0</v>
      </c>
      <c r="AL107" s="31">
        <f>MIN(AL$5,R106+AB107)</f>
        <v>0.0</v>
      </c>
      <c r="AM107" s="31">
        <f>MIN(AM$5,S106+AC107)</f>
        <v>0.0</v>
      </c>
      <c r="AN107" s="31">
        <f>MIN(AN$5,T106+AD107)</f>
        <v>0.0</v>
      </c>
      <c r="AO107" s="31">
        <f>MIN(AO$5,U106+AE107)</f>
        <v>0.0</v>
      </c>
      <c r="AP107" s="31">
        <f>MIN(AP$5,V106+AF107)</f>
        <v>0.0</v>
      </c>
      <c r="AQ107" s="31">
        <f>MIN(AQ$5,W106+AG107)</f>
        <v>0.0</v>
      </c>
      <c r="AR107" s="31">
        <f>MIN(AR$5,X106+AH107)</f>
        <v>0.0</v>
      </c>
      <c r="AS107" s="31">
        <f>MIN(AS$5,Y106+AI107)</f>
        <v>0.0</v>
      </c>
      <c r="AT107" s="31">
        <f>MIN(AT$5,Z106+AJ107)</f>
        <v>0.0</v>
      </c>
      <c r="AU107" s="31">
        <f>MIN(AU$5,AA106+AK107)</f>
        <v>0.0</v>
      </c>
    </row>
    <row r="108">
      <c r="A108" s="25" t="str">
        <f>IF(F107&gt;0.005,103,"")</f>
        <v/>
      </c>
      <c r="B108" s="33" t="str">
        <f>IF(A108="","",EDATE(Долги!$D$5,102))</f>
        <v/>
      </c>
      <c r="C108" s="31">
        <f>SUM(H108:Q108)</f>
        <v>0.0</v>
      </c>
      <c r="D108" s="31">
        <f>SUM(AB108:AK108)</f>
        <v>0.0</v>
      </c>
      <c r="E108" s="31">
        <f>C108-D108</f>
        <v>0.0</v>
      </c>
      <c r="F108" s="31">
        <f>SUM(R108:AA108)</f>
        <v>0.0</v>
      </c>
      <c r="G108" s="34" t="str">
        <f>IF(OR(A108="",$F$5&lt;=0),"",REPT("█",ROUND(20*F108/$F$5,0)))</f>
        <v/>
      </c>
      <c r="H108" s="31">
        <f>AL108+MIN(R107+AB108-AL108,MAX(0,ROUND(Долги!$D$19-SUM($AL108:$AU108),2)))</f>
        <v>0.0</v>
      </c>
      <c r="I108" s="31">
        <f>AM108+MIN(S107+AC108-AM108,MAX(0,ROUND(ROUND(Долги!$D$19-SUM($AL108:$AU108),2)-(SUM($H108:H108)-SUM($AL108:AL108)),2)))</f>
        <v>0.0</v>
      </c>
      <c r="J108" s="31">
        <f>AN108+MIN(T107+AD108-AN108,MAX(0,ROUND(ROUND(Долги!$D$19-SUM($AL108:$AU108),2)-(SUM($H108:I108)-SUM($AL108:AM108)),2)))</f>
        <v>0.0</v>
      </c>
      <c r="K108" s="31">
        <f>AO108+MIN(U107+AE108-AO108,MAX(0,ROUND(ROUND(Долги!$D$19-SUM($AL108:$AU108),2)-(SUM($H108:J108)-SUM($AL108:AN108)),2)))</f>
        <v>0.0</v>
      </c>
      <c r="L108" s="31">
        <f>AP108+MIN(V107+AF108-AP108,MAX(0,ROUND(ROUND(Долги!$D$19-SUM($AL108:$AU108),2)-(SUM($H108:K108)-SUM($AL108:AO108)),2)))</f>
        <v>0.0</v>
      </c>
      <c r="M108" s="31">
        <f>AQ108+MIN(W107+AG108-AQ108,MAX(0,ROUND(ROUND(Долги!$D$19-SUM($AL108:$AU108),2)-(SUM($H108:L108)-SUM($AL108:AP108)),2)))</f>
        <v>0.0</v>
      </c>
      <c r="N108" s="31">
        <f>AR108+MIN(X107+AH108-AR108,MAX(0,ROUND(ROUND(Долги!$D$19-SUM($AL108:$AU108),2)-(SUM($H108:M108)-SUM($AL108:AQ108)),2)))</f>
        <v>0.0</v>
      </c>
      <c r="O108" s="31">
        <f>AS108+MIN(Y107+AI108-AS108,MAX(0,ROUND(ROUND(Долги!$D$19-SUM($AL108:$AU108),2)-(SUM($H108:N108)-SUM($AL108:AR108)),2)))</f>
        <v>0.0</v>
      </c>
      <c r="P108" s="31">
        <f>AT108+MIN(Z107+AJ108-AT108,MAX(0,ROUND(ROUND(Долги!$D$19-SUM($AL108:$AU108),2)-(SUM($H108:O108)-SUM($AL108:AS108)),2)))</f>
        <v>0.0</v>
      </c>
      <c r="Q108" s="31">
        <f>AU108+MIN(AA107+AK108-AU108,MAX(0,ROUND(ROUND(Долги!$D$19-SUM($AL108:$AU108),2)-(SUM($H108:P108)-SUM($AL108:AT108)),2)))</f>
        <v>0.0</v>
      </c>
      <c r="R108" s="31">
        <f>IF(R107+AB108-H108&lt;=0.01,0,ROUND(R107+AB108-H108,2))</f>
        <v>0.0</v>
      </c>
      <c r="S108" s="31">
        <f>IF(S107+AC108-I108&lt;=0.01,0,ROUND(S107+AC108-I108,2))</f>
        <v>0.0</v>
      </c>
      <c r="T108" s="31">
        <f>IF(T107+AD108-J108&lt;=0.01,0,ROUND(T107+AD108-J108,2))</f>
        <v>0.0</v>
      </c>
      <c r="U108" s="31">
        <f>IF(U107+AE108-K108&lt;=0.01,0,ROUND(U107+AE108-K108,2))</f>
        <v>0.0</v>
      </c>
      <c r="V108" s="31">
        <f>IF(V107+AF108-L108&lt;=0.01,0,ROUND(V107+AF108-L108,2))</f>
        <v>0.0</v>
      </c>
      <c r="W108" s="31">
        <f>IF(W107+AG108-M108&lt;=0.01,0,ROUND(W107+AG108-M108,2))</f>
        <v>0.0</v>
      </c>
      <c r="X108" s="31">
        <f>IF(X107+AH108-N108&lt;=0.01,0,ROUND(X107+AH108-N108,2))</f>
        <v>0.0</v>
      </c>
      <c r="Y108" s="31">
        <f>IF(Y107+AI108-O108&lt;=0.01,0,ROUND(Y107+AI108-O108,2))</f>
        <v>0.0</v>
      </c>
      <c r="Z108" s="31">
        <f>IF(Z107+AJ108-P108&lt;=0.01,0,ROUND(Z107+AJ108-P108,2))</f>
        <v>0.0</v>
      </c>
      <c r="AA108" s="31">
        <f>IF(AA107+AK108-Q108&lt;=0.01,0,ROUND(AA107+AK108-Q108,2))</f>
        <v>0.0</v>
      </c>
      <c r="AB108" s="31">
        <f>ROUND(R107*AB$5/1200,2)</f>
        <v>0.0</v>
      </c>
      <c r="AC108" s="31">
        <f>ROUND(S107*AC$5/1200,2)</f>
        <v>0.0</v>
      </c>
      <c r="AD108" s="31">
        <f>ROUND(T107*AD$5/1200,2)</f>
        <v>0.0</v>
      </c>
      <c r="AE108" s="31">
        <f>ROUND(U107*AE$5/1200,2)</f>
        <v>0.0</v>
      </c>
      <c r="AF108" s="31">
        <f>ROUND(V107*AF$5/1200,2)</f>
        <v>0.0</v>
      </c>
      <c r="AG108" s="31">
        <f>ROUND(W107*AG$5/1200,2)</f>
        <v>0.0</v>
      </c>
      <c r="AH108" s="31">
        <f>ROUND(X107*AH$5/1200,2)</f>
        <v>0.0</v>
      </c>
      <c r="AI108" s="31">
        <f>ROUND(Y107*AI$5/1200,2)</f>
        <v>0.0</v>
      </c>
      <c r="AJ108" s="31">
        <f>ROUND(Z107*AJ$5/1200,2)</f>
        <v>0.0</v>
      </c>
      <c r="AK108" s="31">
        <f>ROUND(AA107*AK$5/1200,2)</f>
        <v>0.0</v>
      </c>
      <c r="AL108" s="31">
        <f>MIN(AL$5,R107+AB108)</f>
        <v>0.0</v>
      </c>
      <c r="AM108" s="31">
        <f>MIN(AM$5,S107+AC108)</f>
        <v>0.0</v>
      </c>
      <c r="AN108" s="31">
        <f>MIN(AN$5,T107+AD108)</f>
        <v>0.0</v>
      </c>
      <c r="AO108" s="31">
        <f>MIN(AO$5,U107+AE108)</f>
        <v>0.0</v>
      </c>
      <c r="AP108" s="31">
        <f>MIN(AP$5,V107+AF108)</f>
        <v>0.0</v>
      </c>
      <c r="AQ108" s="31">
        <f>MIN(AQ$5,W107+AG108)</f>
        <v>0.0</v>
      </c>
      <c r="AR108" s="31">
        <f>MIN(AR$5,X107+AH108)</f>
        <v>0.0</v>
      </c>
      <c r="AS108" s="31">
        <f>MIN(AS$5,Y107+AI108)</f>
        <v>0.0</v>
      </c>
      <c r="AT108" s="31">
        <f>MIN(AT$5,Z107+AJ108)</f>
        <v>0.0</v>
      </c>
      <c r="AU108" s="31">
        <f>MIN(AU$5,AA107+AK108)</f>
        <v>0.0</v>
      </c>
    </row>
    <row r="109">
      <c r="A109" s="25" t="str">
        <f>IF(F108&gt;0.005,104,"")</f>
        <v/>
      </c>
      <c r="B109" s="33" t="str">
        <f>IF(A109="","",EDATE(Долги!$D$5,103))</f>
        <v/>
      </c>
      <c r="C109" s="31">
        <f>SUM(H109:Q109)</f>
        <v>0.0</v>
      </c>
      <c r="D109" s="31">
        <f>SUM(AB109:AK109)</f>
        <v>0.0</v>
      </c>
      <c r="E109" s="31">
        <f>C109-D109</f>
        <v>0.0</v>
      </c>
      <c r="F109" s="31">
        <f>SUM(R109:AA109)</f>
        <v>0.0</v>
      </c>
      <c r="G109" s="34" t="str">
        <f>IF(OR(A109="",$F$5&lt;=0),"",REPT("█",ROUND(20*F109/$F$5,0)))</f>
        <v/>
      </c>
      <c r="H109" s="31">
        <f>AL109+MIN(R108+AB109-AL109,MAX(0,ROUND(Долги!$D$19-SUM($AL109:$AU109),2)))</f>
        <v>0.0</v>
      </c>
      <c r="I109" s="31">
        <f>AM109+MIN(S108+AC109-AM109,MAX(0,ROUND(ROUND(Долги!$D$19-SUM($AL109:$AU109),2)-(SUM($H109:H109)-SUM($AL109:AL109)),2)))</f>
        <v>0.0</v>
      </c>
      <c r="J109" s="31">
        <f>AN109+MIN(T108+AD109-AN109,MAX(0,ROUND(ROUND(Долги!$D$19-SUM($AL109:$AU109),2)-(SUM($H109:I109)-SUM($AL109:AM109)),2)))</f>
        <v>0.0</v>
      </c>
      <c r="K109" s="31">
        <f>AO109+MIN(U108+AE109-AO109,MAX(0,ROUND(ROUND(Долги!$D$19-SUM($AL109:$AU109),2)-(SUM($H109:J109)-SUM($AL109:AN109)),2)))</f>
        <v>0.0</v>
      </c>
      <c r="L109" s="31">
        <f>AP109+MIN(V108+AF109-AP109,MAX(0,ROUND(ROUND(Долги!$D$19-SUM($AL109:$AU109),2)-(SUM($H109:K109)-SUM($AL109:AO109)),2)))</f>
        <v>0.0</v>
      </c>
      <c r="M109" s="31">
        <f>AQ109+MIN(W108+AG109-AQ109,MAX(0,ROUND(ROUND(Долги!$D$19-SUM($AL109:$AU109),2)-(SUM($H109:L109)-SUM($AL109:AP109)),2)))</f>
        <v>0.0</v>
      </c>
      <c r="N109" s="31">
        <f>AR109+MIN(X108+AH109-AR109,MAX(0,ROUND(ROUND(Долги!$D$19-SUM($AL109:$AU109),2)-(SUM($H109:M109)-SUM($AL109:AQ109)),2)))</f>
        <v>0.0</v>
      </c>
      <c r="O109" s="31">
        <f>AS109+MIN(Y108+AI109-AS109,MAX(0,ROUND(ROUND(Долги!$D$19-SUM($AL109:$AU109),2)-(SUM($H109:N109)-SUM($AL109:AR109)),2)))</f>
        <v>0.0</v>
      </c>
      <c r="P109" s="31">
        <f>AT109+MIN(Z108+AJ109-AT109,MAX(0,ROUND(ROUND(Долги!$D$19-SUM($AL109:$AU109),2)-(SUM($H109:O109)-SUM($AL109:AS109)),2)))</f>
        <v>0.0</v>
      </c>
      <c r="Q109" s="31">
        <f>AU109+MIN(AA108+AK109-AU109,MAX(0,ROUND(ROUND(Долги!$D$19-SUM($AL109:$AU109),2)-(SUM($H109:P109)-SUM($AL109:AT109)),2)))</f>
        <v>0.0</v>
      </c>
      <c r="R109" s="31">
        <f>IF(R108+AB109-H109&lt;=0.01,0,ROUND(R108+AB109-H109,2))</f>
        <v>0.0</v>
      </c>
      <c r="S109" s="31">
        <f>IF(S108+AC109-I109&lt;=0.01,0,ROUND(S108+AC109-I109,2))</f>
        <v>0.0</v>
      </c>
      <c r="T109" s="31">
        <f>IF(T108+AD109-J109&lt;=0.01,0,ROUND(T108+AD109-J109,2))</f>
        <v>0.0</v>
      </c>
      <c r="U109" s="31">
        <f>IF(U108+AE109-K109&lt;=0.01,0,ROUND(U108+AE109-K109,2))</f>
        <v>0.0</v>
      </c>
      <c r="V109" s="31">
        <f>IF(V108+AF109-L109&lt;=0.01,0,ROUND(V108+AF109-L109,2))</f>
        <v>0.0</v>
      </c>
      <c r="W109" s="31">
        <f>IF(W108+AG109-M109&lt;=0.01,0,ROUND(W108+AG109-M109,2))</f>
        <v>0.0</v>
      </c>
      <c r="X109" s="31">
        <f>IF(X108+AH109-N109&lt;=0.01,0,ROUND(X108+AH109-N109,2))</f>
        <v>0.0</v>
      </c>
      <c r="Y109" s="31">
        <f>IF(Y108+AI109-O109&lt;=0.01,0,ROUND(Y108+AI109-O109,2))</f>
        <v>0.0</v>
      </c>
      <c r="Z109" s="31">
        <f>IF(Z108+AJ109-P109&lt;=0.01,0,ROUND(Z108+AJ109-P109,2))</f>
        <v>0.0</v>
      </c>
      <c r="AA109" s="31">
        <f>IF(AA108+AK109-Q109&lt;=0.01,0,ROUND(AA108+AK109-Q109,2))</f>
        <v>0.0</v>
      </c>
      <c r="AB109" s="31">
        <f>ROUND(R108*AB$5/1200,2)</f>
        <v>0.0</v>
      </c>
      <c r="AC109" s="31">
        <f>ROUND(S108*AC$5/1200,2)</f>
        <v>0.0</v>
      </c>
      <c r="AD109" s="31">
        <f>ROUND(T108*AD$5/1200,2)</f>
        <v>0.0</v>
      </c>
      <c r="AE109" s="31">
        <f>ROUND(U108*AE$5/1200,2)</f>
        <v>0.0</v>
      </c>
      <c r="AF109" s="31">
        <f>ROUND(V108*AF$5/1200,2)</f>
        <v>0.0</v>
      </c>
      <c r="AG109" s="31">
        <f>ROUND(W108*AG$5/1200,2)</f>
        <v>0.0</v>
      </c>
      <c r="AH109" s="31">
        <f>ROUND(X108*AH$5/1200,2)</f>
        <v>0.0</v>
      </c>
      <c r="AI109" s="31">
        <f>ROUND(Y108*AI$5/1200,2)</f>
        <v>0.0</v>
      </c>
      <c r="AJ109" s="31">
        <f>ROUND(Z108*AJ$5/1200,2)</f>
        <v>0.0</v>
      </c>
      <c r="AK109" s="31">
        <f>ROUND(AA108*AK$5/1200,2)</f>
        <v>0.0</v>
      </c>
      <c r="AL109" s="31">
        <f>MIN(AL$5,R108+AB109)</f>
        <v>0.0</v>
      </c>
      <c r="AM109" s="31">
        <f>MIN(AM$5,S108+AC109)</f>
        <v>0.0</v>
      </c>
      <c r="AN109" s="31">
        <f>MIN(AN$5,T108+AD109)</f>
        <v>0.0</v>
      </c>
      <c r="AO109" s="31">
        <f>MIN(AO$5,U108+AE109)</f>
        <v>0.0</v>
      </c>
      <c r="AP109" s="31">
        <f>MIN(AP$5,V108+AF109)</f>
        <v>0.0</v>
      </c>
      <c r="AQ109" s="31">
        <f>MIN(AQ$5,W108+AG109)</f>
        <v>0.0</v>
      </c>
      <c r="AR109" s="31">
        <f>MIN(AR$5,X108+AH109)</f>
        <v>0.0</v>
      </c>
      <c r="AS109" s="31">
        <f>MIN(AS$5,Y108+AI109)</f>
        <v>0.0</v>
      </c>
      <c r="AT109" s="31">
        <f>MIN(AT$5,Z108+AJ109)</f>
        <v>0.0</v>
      </c>
      <c r="AU109" s="31">
        <f>MIN(AU$5,AA108+AK109)</f>
        <v>0.0</v>
      </c>
    </row>
    <row r="110">
      <c r="A110" s="25" t="str">
        <f>IF(F109&gt;0.005,105,"")</f>
        <v/>
      </c>
      <c r="B110" s="33" t="str">
        <f>IF(A110="","",EDATE(Долги!$D$5,104))</f>
        <v/>
      </c>
      <c r="C110" s="31">
        <f>SUM(H110:Q110)</f>
        <v>0.0</v>
      </c>
      <c r="D110" s="31">
        <f>SUM(AB110:AK110)</f>
        <v>0.0</v>
      </c>
      <c r="E110" s="31">
        <f>C110-D110</f>
        <v>0.0</v>
      </c>
      <c r="F110" s="31">
        <f>SUM(R110:AA110)</f>
        <v>0.0</v>
      </c>
      <c r="G110" s="34" t="str">
        <f>IF(OR(A110="",$F$5&lt;=0),"",REPT("█",ROUND(20*F110/$F$5,0)))</f>
        <v/>
      </c>
      <c r="H110" s="31">
        <f>AL110+MIN(R109+AB110-AL110,MAX(0,ROUND(Долги!$D$19-SUM($AL110:$AU110),2)))</f>
        <v>0.0</v>
      </c>
      <c r="I110" s="31">
        <f>AM110+MIN(S109+AC110-AM110,MAX(0,ROUND(ROUND(Долги!$D$19-SUM($AL110:$AU110),2)-(SUM($H110:H110)-SUM($AL110:AL110)),2)))</f>
        <v>0.0</v>
      </c>
      <c r="J110" s="31">
        <f>AN110+MIN(T109+AD110-AN110,MAX(0,ROUND(ROUND(Долги!$D$19-SUM($AL110:$AU110),2)-(SUM($H110:I110)-SUM($AL110:AM110)),2)))</f>
        <v>0.0</v>
      </c>
      <c r="K110" s="31">
        <f>AO110+MIN(U109+AE110-AO110,MAX(0,ROUND(ROUND(Долги!$D$19-SUM($AL110:$AU110),2)-(SUM($H110:J110)-SUM($AL110:AN110)),2)))</f>
        <v>0.0</v>
      </c>
      <c r="L110" s="31">
        <f>AP110+MIN(V109+AF110-AP110,MAX(0,ROUND(ROUND(Долги!$D$19-SUM($AL110:$AU110),2)-(SUM($H110:K110)-SUM($AL110:AO110)),2)))</f>
        <v>0.0</v>
      </c>
      <c r="M110" s="31">
        <f>AQ110+MIN(W109+AG110-AQ110,MAX(0,ROUND(ROUND(Долги!$D$19-SUM($AL110:$AU110),2)-(SUM($H110:L110)-SUM($AL110:AP110)),2)))</f>
        <v>0.0</v>
      </c>
      <c r="N110" s="31">
        <f>AR110+MIN(X109+AH110-AR110,MAX(0,ROUND(ROUND(Долги!$D$19-SUM($AL110:$AU110),2)-(SUM($H110:M110)-SUM($AL110:AQ110)),2)))</f>
        <v>0.0</v>
      </c>
      <c r="O110" s="31">
        <f>AS110+MIN(Y109+AI110-AS110,MAX(0,ROUND(ROUND(Долги!$D$19-SUM($AL110:$AU110),2)-(SUM($H110:N110)-SUM($AL110:AR110)),2)))</f>
        <v>0.0</v>
      </c>
      <c r="P110" s="31">
        <f>AT110+MIN(Z109+AJ110-AT110,MAX(0,ROUND(ROUND(Долги!$D$19-SUM($AL110:$AU110),2)-(SUM($H110:O110)-SUM($AL110:AS110)),2)))</f>
        <v>0.0</v>
      </c>
      <c r="Q110" s="31">
        <f>AU110+MIN(AA109+AK110-AU110,MAX(0,ROUND(ROUND(Долги!$D$19-SUM($AL110:$AU110),2)-(SUM($H110:P110)-SUM($AL110:AT110)),2)))</f>
        <v>0.0</v>
      </c>
      <c r="R110" s="31">
        <f>IF(R109+AB110-H110&lt;=0.01,0,ROUND(R109+AB110-H110,2))</f>
        <v>0.0</v>
      </c>
      <c r="S110" s="31">
        <f>IF(S109+AC110-I110&lt;=0.01,0,ROUND(S109+AC110-I110,2))</f>
        <v>0.0</v>
      </c>
      <c r="T110" s="31">
        <f>IF(T109+AD110-J110&lt;=0.01,0,ROUND(T109+AD110-J110,2))</f>
        <v>0.0</v>
      </c>
      <c r="U110" s="31">
        <f>IF(U109+AE110-K110&lt;=0.01,0,ROUND(U109+AE110-K110,2))</f>
        <v>0.0</v>
      </c>
      <c r="V110" s="31">
        <f>IF(V109+AF110-L110&lt;=0.01,0,ROUND(V109+AF110-L110,2))</f>
        <v>0.0</v>
      </c>
      <c r="W110" s="31">
        <f>IF(W109+AG110-M110&lt;=0.01,0,ROUND(W109+AG110-M110,2))</f>
        <v>0.0</v>
      </c>
      <c r="X110" s="31">
        <f>IF(X109+AH110-N110&lt;=0.01,0,ROUND(X109+AH110-N110,2))</f>
        <v>0.0</v>
      </c>
      <c r="Y110" s="31">
        <f>IF(Y109+AI110-O110&lt;=0.01,0,ROUND(Y109+AI110-O110,2))</f>
        <v>0.0</v>
      </c>
      <c r="Z110" s="31">
        <f>IF(Z109+AJ110-P110&lt;=0.01,0,ROUND(Z109+AJ110-P110,2))</f>
        <v>0.0</v>
      </c>
      <c r="AA110" s="31">
        <f>IF(AA109+AK110-Q110&lt;=0.01,0,ROUND(AA109+AK110-Q110,2))</f>
        <v>0.0</v>
      </c>
      <c r="AB110" s="31">
        <f>ROUND(R109*AB$5/1200,2)</f>
        <v>0.0</v>
      </c>
      <c r="AC110" s="31">
        <f>ROUND(S109*AC$5/1200,2)</f>
        <v>0.0</v>
      </c>
      <c r="AD110" s="31">
        <f>ROUND(T109*AD$5/1200,2)</f>
        <v>0.0</v>
      </c>
      <c r="AE110" s="31">
        <f>ROUND(U109*AE$5/1200,2)</f>
        <v>0.0</v>
      </c>
      <c r="AF110" s="31">
        <f>ROUND(V109*AF$5/1200,2)</f>
        <v>0.0</v>
      </c>
      <c r="AG110" s="31">
        <f>ROUND(W109*AG$5/1200,2)</f>
        <v>0.0</v>
      </c>
      <c r="AH110" s="31">
        <f>ROUND(X109*AH$5/1200,2)</f>
        <v>0.0</v>
      </c>
      <c r="AI110" s="31">
        <f>ROUND(Y109*AI$5/1200,2)</f>
        <v>0.0</v>
      </c>
      <c r="AJ110" s="31">
        <f>ROUND(Z109*AJ$5/1200,2)</f>
        <v>0.0</v>
      </c>
      <c r="AK110" s="31">
        <f>ROUND(AA109*AK$5/1200,2)</f>
        <v>0.0</v>
      </c>
      <c r="AL110" s="31">
        <f>MIN(AL$5,R109+AB110)</f>
        <v>0.0</v>
      </c>
      <c r="AM110" s="31">
        <f>MIN(AM$5,S109+AC110)</f>
        <v>0.0</v>
      </c>
      <c r="AN110" s="31">
        <f>MIN(AN$5,T109+AD110)</f>
        <v>0.0</v>
      </c>
      <c r="AO110" s="31">
        <f>MIN(AO$5,U109+AE110)</f>
        <v>0.0</v>
      </c>
      <c r="AP110" s="31">
        <f>MIN(AP$5,V109+AF110)</f>
        <v>0.0</v>
      </c>
      <c r="AQ110" s="31">
        <f>MIN(AQ$5,W109+AG110)</f>
        <v>0.0</v>
      </c>
      <c r="AR110" s="31">
        <f>MIN(AR$5,X109+AH110)</f>
        <v>0.0</v>
      </c>
      <c r="AS110" s="31">
        <f>MIN(AS$5,Y109+AI110)</f>
        <v>0.0</v>
      </c>
      <c r="AT110" s="31">
        <f>MIN(AT$5,Z109+AJ110)</f>
        <v>0.0</v>
      </c>
      <c r="AU110" s="31">
        <f>MIN(AU$5,AA109+AK110)</f>
        <v>0.0</v>
      </c>
    </row>
    <row r="111">
      <c r="A111" s="25" t="str">
        <f>IF(F110&gt;0.005,106,"")</f>
        <v/>
      </c>
      <c r="B111" s="33" t="str">
        <f>IF(A111="","",EDATE(Долги!$D$5,105))</f>
        <v/>
      </c>
      <c r="C111" s="31">
        <f>SUM(H111:Q111)</f>
        <v>0.0</v>
      </c>
      <c r="D111" s="31">
        <f>SUM(AB111:AK111)</f>
        <v>0.0</v>
      </c>
      <c r="E111" s="31">
        <f>C111-D111</f>
        <v>0.0</v>
      </c>
      <c r="F111" s="31">
        <f>SUM(R111:AA111)</f>
        <v>0.0</v>
      </c>
      <c r="G111" s="34" t="str">
        <f>IF(OR(A111="",$F$5&lt;=0),"",REPT("█",ROUND(20*F111/$F$5,0)))</f>
        <v/>
      </c>
      <c r="H111" s="31">
        <f>AL111+MIN(R110+AB111-AL111,MAX(0,ROUND(Долги!$D$19-SUM($AL111:$AU111),2)))</f>
        <v>0.0</v>
      </c>
      <c r="I111" s="31">
        <f>AM111+MIN(S110+AC111-AM111,MAX(0,ROUND(ROUND(Долги!$D$19-SUM($AL111:$AU111),2)-(SUM($H111:H111)-SUM($AL111:AL111)),2)))</f>
        <v>0.0</v>
      </c>
      <c r="J111" s="31">
        <f>AN111+MIN(T110+AD111-AN111,MAX(0,ROUND(ROUND(Долги!$D$19-SUM($AL111:$AU111),2)-(SUM($H111:I111)-SUM($AL111:AM111)),2)))</f>
        <v>0.0</v>
      </c>
      <c r="K111" s="31">
        <f>AO111+MIN(U110+AE111-AO111,MAX(0,ROUND(ROUND(Долги!$D$19-SUM($AL111:$AU111),2)-(SUM($H111:J111)-SUM($AL111:AN111)),2)))</f>
        <v>0.0</v>
      </c>
      <c r="L111" s="31">
        <f>AP111+MIN(V110+AF111-AP111,MAX(0,ROUND(ROUND(Долги!$D$19-SUM($AL111:$AU111),2)-(SUM($H111:K111)-SUM($AL111:AO111)),2)))</f>
        <v>0.0</v>
      </c>
      <c r="M111" s="31">
        <f>AQ111+MIN(W110+AG111-AQ111,MAX(0,ROUND(ROUND(Долги!$D$19-SUM($AL111:$AU111),2)-(SUM($H111:L111)-SUM($AL111:AP111)),2)))</f>
        <v>0.0</v>
      </c>
      <c r="N111" s="31">
        <f>AR111+MIN(X110+AH111-AR111,MAX(0,ROUND(ROUND(Долги!$D$19-SUM($AL111:$AU111),2)-(SUM($H111:M111)-SUM($AL111:AQ111)),2)))</f>
        <v>0.0</v>
      </c>
      <c r="O111" s="31">
        <f>AS111+MIN(Y110+AI111-AS111,MAX(0,ROUND(ROUND(Долги!$D$19-SUM($AL111:$AU111),2)-(SUM($H111:N111)-SUM($AL111:AR111)),2)))</f>
        <v>0.0</v>
      </c>
      <c r="P111" s="31">
        <f>AT111+MIN(Z110+AJ111-AT111,MAX(0,ROUND(ROUND(Долги!$D$19-SUM($AL111:$AU111),2)-(SUM($H111:O111)-SUM($AL111:AS111)),2)))</f>
        <v>0.0</v>
      </c>
      <c r="Q111" s="31">
        <f>AU111+MIN(AA110+AK111-AU111,MAX(0,ROUND(ROUND(Долги!$D$19-SUM($AL111:$AU111),2)-(SUM($H111:P111)-SUM($AL111:AT111)),2)))</f>
        <v>0.0</v>
      </c>
      <c r="R111" s="31">
        <f>IF(R110+AB111-H111&lt;=0.01,0,ROUND(R110+AB111-H111,2))</f>
        <v>0.0</v>
      </c>
      <c r="S111" s="31">
        <f>IF(S110+AC111-I111&lt;=0.01,0,ROUND(S110+AC111-I111,2))</f>
        <v>0.0</v>
      </c>
      <c r="T111" s="31">
        <f>IF(T110+AD111-J111&lt;=0.01,0,ROUND(T110+AD111-J111,2))</f>
        <v>0.0</v>
      </c>
      <c r="U111" s="31">
        <f>IF(U110+AE111-K111&lt;=0.01,0,ROUND(U110+AE111-K111,2))</f>
        <v>0.0</v>
      </c>
      <c r="V111" s="31">
        <f>IF(V110+AF111-L111&lt;=0.01,0,ROUND(V110+AF111-L111,2))</f>
        <v>0.0</v>
      </c>
      <c r="W111" s="31">
        <f>IF(W110+AG111-M111&lt;=0.01,0,ROUND(W110+AG111-M111,2))</f>
        <v>0.0</v>
      </c>
      <c r="X111" s="31">
        <f>IF(X110+AH111-N111&lt;=0.01,0,ROUND(X110+AH111-N111,2))</f>
        <v>0.0</v>
      </c>
      <c r="Y111" s="31">
        <f>IF(Y110+AI111-O111&lt;=0.01,0,ROUND(Y110+AI111-O111,2))</f>
        <v>0.0</v>
      </c>
      <c r="Z111" s="31">
        <f>IF(Z110+AJ111-P111&lt;=0.01,0,ROUND(Z110+AJ111-P111,2))</f>
        <v>0.0</v>
      </c>
      <c r="AA111" s="31">
        <f>IF(AA110+AK111-Q111&lt;=0.01,0,ROUND(AA110+AK111-Q111,2))</f>
        <v>0.0</v>
      </c>
      <c r="AB111" s="31">
        <f>ROUND(R110*AB$5/1200,2)</f>
        <v>0.0</v>
      </c>
      <c r="AC111" s="31">
        <f>ROUND(S110*AC$5/1200,2)</f>
        <v>0.0</v>
      </c>
      <c r="AD111" s="31">
        <f>ROUND(T110*AD$5/1200,2)</f>
        <v>0.0</v>
      </c>
      <c r="AE111" s="31">
        <f>ROUND(U110*AE$5/1200,2)</f>
        <v>0.0</v>
      </c>
      <c r="AF111" s="31">
        <f>ROUND(V110*AF$5/1200,2)</f>
        <v>0.0</v>
      </c>
      <c r="AG111" s="31">
        <f>ROUND(W110*AG$5/1200,2)</f>
        <v>0.0</v>
      </c>
      <c r="AH111" s="31">
        <f>ROUND(X110*AH$5/1200,2)</f>
        <v>0.0</v>
      </c>
      <c r="AI111" s="31">
        <f>ROUND(Y110*AI$5/1200,2)</f>
        <v>0.0</v>
      </c>
      <c r="AJ111" s="31">
        <f>ROUND(Z110*AJ$5/1200,2)</f>
        <v>0.0</v>
      </c>
      <c r="AK111" s="31">
        <f>ROUND(AA110*AK$5/1200,2)</f>
        <v>0.0</v>
      </c>
      <c r="AL111" s="31">
        <f>MIN(AL$5,R110+AB111)</f>
        <v>0.0</v>
      </c>
      <c r="AM111" s="31">
        <f>MIN(AM$5,S110+AC111)</f>
        <v>0.0</v>
      </c>
      <c r="AN111" s="31">
        <f>MIN(AN$5,T110+AD111)</f>
        <v>0.0</v>
      </c>
      <c r="AO111" s="31">
        <f>MIN(AO$5,U110+AE111)</f>
        <v>0.0</v>
      </c>
      <c r="AP111" s="31">
        <f>MIN(AP$5,V110+AF111)</f>
        <v>0.0</v>
      </c>
      <c r="AQ111" s="31">
        <f>MIN(AQ$5,W110+AG111)</f>
        <v>0.0</v>
      </c>
      <c r="AR111" s="31">
        <f>MIN(AR$5,X110+AH111)</f>
        <v>0.0</v>
      </c>
      <c r="AS111" s="31">
        <f>MIN(AS$5,Y110+AI111)</f>
        <v>0.0</v>
      </c>
      <c r="AT111" s="31">
        <f>MIN(AT$5,Z110+AJ111)</f>
        <v>0.0</v>
      </c>
      <c r="AU111" s="31">
        <f>MIN(AU$5,AA110+AK111)</f>
        <v>0.0</v>
      </c>
    </row>
    <row r="112">
      <c r="A112" s="25" t="str">
        <f>IF(F111&gt;0.005,107,"")</f>
        <v/>
      </c>
      <c r="B112" s="33" t="str">
        <f>IF(A112="","",EDATE(Долги!$D$5,106))</f>
        <v/>
      </c>
      <c r="C112" s="31">
        <f>SUM(H112:Q112)</f>
        <v>0.0</v>
      </c>
      <c r="D112" s="31">
        <f>SUM(AB112:AK112)</f>
        <v>0.0</v>
      </c>
      <c r="E112" s="31">
        <f>C112-D112</f>
        <v>0.0</v>
      </c>
      <c r="F112" s="31">
        <f>SUM(R112:AA112)</f>
        <v>0.0</v>
      </c>
      <c r="G112" s="34" t="str">
        <f>IF(OR(A112="",$F$5&lt;=0),"",REPT("█",ROUND(20*F112/$F$5,0)))</f>
        <v/>
      </c>
      <c r="H112" s="31">
        <f>AL112+MIN(R111+AB112-AL112,MAX(0,ROUND(Долги!$D$19-SUM($AL112:$AU112),2)))</f>
        <v>0.0</v>
      </c>
      <c r="I112" s="31">
        <f>AM112+MIN(S111+AC112-AM112,MAX(0,ROUND(ROUND(Долги!$D$19-SUM($AL112:$AU112),2)-(SUM($H112:H112)-SUM($AL112:AL112)),2)))</f>
        <v>0.0</v>
      </c>
      <c r="J112" s="31">
        <f>AN112+MIN(T111+AD112-AN112,MAX(0,ROUND(ROUND(Долги!$D$19-SUM($AL112:$AU112),2)-(SUM($H112:I112)-SUM($AL112:AM112)),2)))</f>
        <v>0.0</v>
      </c>
      <c r="K112" s="31">
        <f>AO112+MIN(U111+AE112-AO112,MAX(0,ROUND(ROUND(Долги!$D$19-SUM($AL112:$AU112),2)-(SUM($H112:J112)-SUM($AL112:AN112)),2)))</f>
        <v>0.0</v>
      </c>
      <c r="L112" s="31">
        <f>AP112+MIN(V111+AF112-AP112,MAX(0,ROUND(ROUND(Долги!$D$19-SUM($AL112:$AU112),2)-(SUM($H112:K112)-SUM($AL112:AO112)),2)))</f>
        <v>0.0</v>
      </c>
      <c r="M112" s="31">
        <f>AQ112+MIN(W111+AG112-AQ112,MAX(0,ROUND(ROUND(Долги!$D$19-SUM($AL112:$AU112),2)-(SUM($H112:L112)-SUM($AL112:AP112)),2)))</f>
        <v>0.0</v>
      </c>
      <c r="N112" s="31">
        <f>AR112+MIN(X111+AH112-AR112,MAX(0,ROUND(ROUND(Долги!$D$19-SUM($AL112:$AU112),2)-(SUM($H112:M112)-SUM($AL112:AQ112)),2)))</f>
        <v>0.0</v>
      </c>
      <c r="O112" s="31">
        <f>AS112+MIN(Y111+AI112-AS112,MAX(0,ROUND(ROUND(Долги!$D$19-SUM($AL112:$AU112),2)-(SUM($H112:N112)-SUM($AL112:AR112)),2)))</f>
        <v>0.0</v>
      </c>
      <c r="P112" s="31">
        <f>AT112+MIN(Z111+AJ112-AT112,MAX(0,ROUND(ROUND(Долги!$D$19-SUM($AL112:$AU112),2)-(SUM($H112:O112)-SUM($AL112:AS112)),2)))</f>
        <v>0.0</v>
      </c>
      <c r="Q112" s="31">
        <f>AU112+MIN(AA111+AK112-AU112,MAX(0,ROUND(ROUND(Долги!$D$19-SUM($AL112:$AU112),2)-(SUM($H112:P112)-SUM($AL112:AT112)),2)))</f>
        <v>0.0</v>
      </c>
      <c r="R112" s="31">
        <f>IF(R111+AB112-H112&lt;=0.01,0,ROUND(R111+AB112-H112,2))</f>
        <v>0.0</v>
      </c>
      <c r="S112" s="31">
        <f>IF(S111+AC112-I112&lt;=0.01,0,ROUND(S111+AC112-I112,2))</f>
        <v>0.0</v>
      </c>
      <c r="T112" s="31">
        <f>IF(T111+AD112-J112&lt;=0.01,0,ROUND(T111+AD112-J112,2))</f>
        <v>0.0</v>
      </c>
      <c r="U112" s="31">
        <f>IF(U111+AE112-K112&lt;=0.01,0,ROUND(U111+AE112-K112,2))</f>
        <v>0.0</v>
      </c>
      <c r="V112" s="31">
        <f>IF(V111+AF112-L112&lt;=0.01,0,ROUND(V111+AF112-L112,2))</f>
        <v>0.0</v>
      </c>
      <c r="W112" s="31">
        <f>IF(W111+AG112-M112&lt;=0.01,0,ROUND(W111+AG112-M112,2))</f>
        <v>0.0</v>
      </c>
      <c r="X112" s="31">
        <f>IF(X111+AH112-N112&lt;=0.01,0,ROUND(X111+AH112-N112,2))</f>
        <v>0.0</v>
      </c>
      <c r="Y112" s="31">
        <f>IF(Y111+AI112-O112&lt;=0.01,0,ROUND(Y111+AI112-O112,2))</f>
        <v>0.0</v>
      </c>
      <c r="Z112" s="31">
        <f>IF(Z111+AJ112-P112&lt;=0.01,0,ROUND(Z111+AJ112-P112,2))</f>
        <v>0.0</v>
      </c>
      <c r="AA112" s="31">
        <f>IF(AA111+AK112-Q112&lt;=0.01,0,ROUND(AA111+AK112-Q112,2))</f>
        <v>0.0</v>
      </c>
      <c r="AB112" s="31">
        <f>ROUND(R111*AB$5/1200,2)</f>
        <v>0.0</v>
      </c>
      <c r="AC112" s="31">
        <f>ROUND(S111*AC$5/1200,2)</f>
        <v>0.0</v>
      </c>
      <c r="AD112" s="31">
        <f>ROUND(T111*AD$5/1200,2)</f>
        <v>0.0</v>
      </c>
      <c r="AE112" s="31">
        <f>ROUND(U111*AE$5/1200,2)</f>
        <v>0.0</v>
      </c>
      <c r="AF112" s="31">
        <f>ROUND(V111*AF$5/1200,2)</f>
        <v>0.0</v>
      </c>
      <c r="AG112" s="31">
        <f>ROUND(W111*AG$5/1200,2)</f>
        <v>0.0</v>
      </c>
      <c r="AH112" s="31">
        <f>ROUND(X111*AH$5/1200,2)</f>
        <v>0.0</v>
      </c>
      <c r="AI112" s="31">
        <f>ROUND(Y111*AI$5/1200,2)</f>
        <v>0.0</v>
      </c>
      <c r="AJ112" s="31">
        <f>ROUND(Z111*AJ$5/1200,2)</f>
        <v>0.0</v>
      </c>
      <c r="AK112" s="31">
        <f>ROUND(AA111*AK$5/1200,2)</f>
        <v>0.0</v>
      </c>
      <c r="AL112" s="31">
        <f>MIN(AL$5,R111+AB112)</f>
        <v>0.0</v>
      </c>
      <c r="AM112" s="31">
        <f>MIN(AM$5,S111+AC112)</f>
        <v>0.0</v>
      </c>
      <c r="AN112" s="31">
        <f>MIN(AN$5,T111+AD112)</f>
        <v>0.0</v>
      </c>
      <c r="AO112" s="31">
        <f>MIN(AO$5,U111+AE112)</f>
        <v>0.0</v>
      </c>
      <c r="AP112" s="31">
        <f>MIN(AP$5,V111+AF112)</f>
        <v>0.0</v>
      </c>
      <c r="AQ112" s="31">
        <f>MIN(AQ$5,W111+AG112)</f>
        <v>0.0</v>
      </c>
      <c r="AR112" s="31">
        <f>MIN(AR$5,X111+AH112)</f>
        <v>0.0</v>
      </c>
      <c r="AS112" s="31">
        <f>MIN(AS$5,Y111+AI112)</f>
        <v>0.0</v>
      </c>
      <c r="AT112" s="31">
        <f>MIN(AT$5,Z111+AJ112)</f>
        <v>0.0</v>
      </c>
      <c r="AU112" s="31">
        <f>MIN(AU$5,AA111+AK112)</f>
        <v>0.0</v>
      </c>
    </row>
    <row r="113">
      <c r="A113" s="25" t="str">
        <f>IF(F112&gt;0.005,108,"")</f>
        <v/>
      </c>
      <c r="B113" s="33" t="str">
        <f>IF(A113="","",EDATE(Долги!$D$5,107))</f>
        <v/>
      </c>
      <c r="C113" s="31">
        <f>SUM(H113:Q113)</f>
        <v>0.0</v>
      </c>
      <c r="D113" s="31">
        <f>SUM(AB113:AK113)</f>
        <v>0.0</v>
      </c>
      <c r="E113" s="31">
        <f>C113-D113</f>
        <v>0.0</v>
      </c>
      <c r="F113" s="31">
        <f>SUM(R113:AA113)</f>
        <v>0.0</v>
      </c>
      <c r="G113" s="34" t="str">
        <f>IF(OR(A113="",$F$5&lt;=0),"",REPT("█",ROUND(20*F113/$F$5,0)))</f>
        <v/>
      </c>
      <c r="H113" s="31">
        <f>AL113+MIN(R112+AB113-AL113,MAX(0,ROUND(Долги!$D$19-SUM($AL113:$AU113),2)))</f>
        <v>0.0</v>
      </c>
      <c r="I113" s="31">
        <f>AM113+MIN(S112+AC113-AM113,MAX(0,ROUND(ROUND(Долги!$D$19-SUM($AL113:$AU113),2)-(SUM($H113:H113)-SUM($AL113:AL113)),2)))</f>
        <v>0.0</v>
      </c>
      <c r="J113" s="31">
        <f>AN113+MIN(T112+AD113-AN113,MAX(0,ROUND(ROUND(Долги!$D$19-SUM($AL113:$AU113),2)-(SUM($H113:I113)-SUM($AL113:AM113)),2)))</f>
        <v>0.0</v>
      </c>
      <c r="K113" s="31">
        <f>AO113+MIN(U112+AE113-AO113,MAX(0,ROUND(ROUND(Долги!$D$19-SUM($AL113:$AU113),2)-(SUM($H113:J113)-SUM($AL113:AN113)),2)))</f>
        <v>0.0</v>
      </c>
      <c r="L113" s="31">
        <f>AP113+MIN(V112+AF113-AP113,MAX(0,ROUND(ROUND(Долги!$D$19-SUM($AL113:$AU113),2)-(SUM($H113:K113)-SUM($AL113:AO113)),2)))</f>
        <v>0.0</v>
      </c>
      <c r="M113" s="31">
        <f>AQ113+MIN(W112+AG113-AQ113,MAX(0,ROUND(ROUND(Долги!$D$19-SUM($AL113:$AU113),2)-(SUM($H113:L113)-SUM($AL113:AP113)),2)))</f>
        <v>0.0</v>
      </c>
      <c r="N113" s="31">
        <f>AR113+MIN(X112+AH113-AR113,MAX(0,ROUND(ROUND(Долги!$D$19-SUM($AL113:$AU113),2)-(SUM($H113:M113)-SUM($AL113:AQ113)),2)))</f>
        <v>0.0</v>
      </c>
      <c r="O113" s="31">
        <f>AS113+MIN(Y112+AI113-AS113,MAX(0,ROUND(ROUND(Долги!$D$19-SUM($AL113:$AU113),2)-(SUM($H113:N113)-SUM($AL113:AR113)),2)))</f>
        <v>0.0</v>
      </c>
      <c r="P113" s="31">
        <f>AT113+MIN(Z112+AJ113-AT113,MAX(0,ROUND(ROUND(Долги!$D$19-SUM($AL113:$AU113),2)-(SUM($H113:O113)-SUM($AL113:AS113)),2)))</f>
        <v>0.0</v>
      </c>
      <c r="Q113" s="31">
        <f>AU113+MIN(AA112+AK113-AU113,MAX(0,ROUND(ROUND(Долги!$D$19-SUM($AL113:$AU113),2)-(SUM($H113:P113)-SUM($AL113:AT113)),2)))</f>
        <v>0.0</v>
      </c>
      <c r="R113" s="31">
        <f>IF(R112+AB113-H113&lt;=0.01,0,ROUND(R112+AB113-H113,2))</f>
        <v>0.0</v>
      </c>
      <c r="S113" s="31">
        <f>IF(S112+AC113-I113&lt;=0.01,0,ROUND(S112+AC113-I113,2))</f>
        <v>0.0</v>
      </c>
      <c r="T113" s="31">
        <f>IF(T112+AD113-J113&lt;=0.01,0,ROUND(T112+AD113-J113,2))</f>
        <v>0.0</v>
      </c>
      <c r="U113" s="31">
        <f>IF(U112+AE113-K113&lt;=0.01,0,ROUND(U112+AE113-K113,2))</f>
        <v>0.0</v>
      </c>
      <c r="V113" s="31">
        <f>IF(V112+AF113-L113&lt;=0.01,0,ROUND(V112+AF113-L113,2))</f>
        <v>0.0</v>
      </c>
      <c r="W113" s="31">
        <f>IF(W112+AG113-M113&lt;=0.01,0,ROUND(W112+AG113-M113,2))</f>
        <v>0.0</v>
      </c>
      <c r="X113" s="31">
        <f>IF(X112+AH113-N113&lt;=0.01,0,ROUND(X112+AH113-N113,2))</f>
        <v>0.0</v>
      </c>
      <c r="Y113" s="31">
        <f>IF(Y112+AI113-O113&lt;=0.01,0,ROUND(Y112+AI113-O113,2))</f>
        <v>0.0</v>
      </c>
      <c r="Z113" s="31">
        <f>IF(Z112+AJ113-P113&lt;=0.01,0,ROUND(Z112+AJ113-P113,2))</f>
        <v>0.0</v>
      </c>
      <c r="AA113" s="31">
        <f>IF(AA112+AK113-Q113&lt;=0.01,0,ROUND(AA112+AK113-Q113,2))</f>
        <v>0.0</v>
      </c>
      <c r="AB113" s="31">
        <f>ROUND(R112*AB$5/1200,2)</f>
        <v>0.0</v>
      </c>
      <c r="AC113" s="31">
        <f>ROUND(S112*AC$5/1200,2)</f>
        <v>0.0</v>
      </c>
      <c r="AD113" s="31">
        <f>ROUND(T112*AD$5/1200,2)</f>
        <v>0.0</v>
      </c>
      <c r="AE113" s="31">
        <f>ROUND(U112*AE$5/1200,2)</f>
        <v>0.0</v>
      </c>
      <c r="AF113" s="31">
        <f>ROUND(V112*AF$5/1200,2)</f>
        <v>0.0</v>
      </c>
      <c r="AG113" s="31">
        <f>ROUND(W112*AG$5/1200,2)</f>
        <v>0.0</v>
      </c>
      <c r="AH113" s="31">
        <f>ROUND(X112*AH$5/1200,2)</f>
        <v>0.0</v>
      </c>
      <c r="AI113" s="31">
        <f>ROUND(Y112*AI$5/1200,2)</f>
        <v>0.0</v>
      </c>
      <c r="AJ113" s="31">
        <f>ROUND(Z112*AJ$5/1200,2)</f>
        <v>0.0</v>
      </c>
      <c r="AK113" s="31">
        <f>ROUND(AA112*AK$5/1200,2)</f>
        <v>0.0</v>
      </c>
      <c r="AL113" s="31">
        <f>MIN(AL$5,R112+AB113)</f>
        <v>0.0</v>
      </c>
      <c r="AM113" s="31">
        <f>MIN(AM$5,S112+AC113)</f>
        <v>0.0</v>
      </c>
      <c r="AN113" s="31">
        <f>MIN(AN$5,T112+AD113)</f>
        <v>0.0</v>
      </c>
      <c r="AO113" s="31">
        <f>MIN(AO$5,U112+AE113)</f>
        <v>0.0</v>
      </c>
      <c r="AP113" s="31">
        <f>MIN(AP$5,V112+AF113)</f>
        <v>0.0</v>
      </c>
      <c r="AQ113" s="31">
        <f>MIN(AQ$5,W112+AG113)</f>
        <v>0.0</v>
      </c>
      <c r="AR113" s="31">
        <f>MIN(AR$5,X112+AH113)</f>
        <v>0.0</v>
      </c>
      <c r="AS113" s="31">
        <f>MIN(AS$5,Y112+AI113)</f>
        <v>0.0</v>
      </c>
      <c r="AT113" s="31">
        <f>MIN(AT$5,Z112+AJ113)</f>
        <v>0.0</v>
      </c>
      <c r="AU113" s="31">
        <f>MIN(AU$5,AA112+AK113)</f>
        <v>0.0</v>
      </c>
    </row>
    <row r="114">
      <c r="A114" s="25" t="str">
        <f>IF(F113&gt;0.005,109,"")</f>
        <v/>
      </c>
      <c r="B114" s="33" t="str">
        <f>IF(A114="","",EDATE(Долги!$D$5,108))</f>
        <v/>
      </c>
      <c r="C114" s="31">
        <f>SUM(H114:Q114)</f>
        <v>0.0</v>
      </c>
      <c r="D114" s="31">
        <f>SUM(AB114:AK114)</f>
        <v>0.0</v>
      </c>
      <c r="E114" s="31">
        <f>C114-D114</f>
        <v>0.0</v>
      </c>
      <c r="F114" s="31">
        <f>SUM(R114:AA114)</f>
        <v>0.0</v>
      </c>
      <c r="G114" s="34" t="str">
        <f>IF(OR(A114="",$F$5&lt;=0),"",REPT("█",ROUND(20*F114/$F$5,0)))</f>
        <v/>
      </c>
      <c r="H114" s="31">
        <f>AL114+MIN(R113+AB114-AL114,MAX(0,ROUND(Долги!$D$19-SUM($AL114:$AU114),2)))</f>
        <v>0.0</v>
      </c>
      <c r="I114" s="31">
        <f>AM114+MIN(S113+AC114-AM114,MAX(0,ROUND(ROUND(Долги!$D$19-SUM($AL114:$AU114),2)-(SUM($H114:H114)-SUM($AL114:AL114)),2)))</f>
        <v>0.0</v>
      </c>
      <c r="J114" s="31">
        <f>AN114+MIN(T113+AD114-AN114,MAX(0,ROUND(ROUND(Долги!$D$19-SUM($AL114:$AU114),2)-(SUM($H114:I114)-SUM($AL114:AM114)),2)))</f>
        <v>0.0</v>
      </c>
      <c r="K114" s="31">
        <f>AO114+MIN(U113+AE114-AO114,MAX(0,ROUND(ROUND(Долги!$D$19-SUM($AL114:$AU114),2)-(SUM($H114:J114)-SUM($AL114:AN114)),2)))</f>
        <v>0.0</v>
      </c>
      <c r="L114" s="31">
        <f>AP114+MIN(V113+AF114-AP114,MAX(0,ROUND(ROUND(Долги!$D$19-SUM($AL114:$AU114),2)-(SUM($H114:K114)-SUM($AL114:AO114)),2)))</f>
        <v>0.0</v>
      </c>
      <c r="M114" s="31">
        <f>AQ114+MIN(W113+AG114-AQ114,MAX(0,ROUND(ROUND(Долги!$D$19-SUM($AL114:$AU114),2)-(SUM($H114:L114)-SUM($AL114:AP114)),2)))</f>
        <v>0.0</v>
      </c>
      <c r="N114" s="31">
        <f>AR114+MIN(X113+AH114-AR114,MAX(0,ROUND(ROUND(Долги!$D$19-SUM($AL114:$AU114),2)-(SUM($H114:M114)-SUM($AL114:AQ114)),2)))</f>
        <v>0.0</v>
      </c>
      <c r="O114" s="31">
        <f>AS114+MIN(Y113+AI114-AS114,MAX(0,ROUND(ROUND(Долги!$D$19-SUM($AL114:$AU114),2)-(SUM($H114:N114)-SUM($AL114:AR114)),2)))</f>
        <v>0.0</v>
      </c>
      <c r="P114" s="31">
        <f>AT114+MIN(Z113+AJ114-AT114,MAX(0,ROUND(ROUND(Долги!$D$19-SUM($AL114:$AU114),2)-(SUM($H114:O114)-SUM($AL114:AS114)),2)))</f>
        <v>0.0</v>
      </c>
      <c r="Q114" s="31">
        <f>AU114+MIN(AA113+AK114-AU114,MAX(0,ROUND(ROUND(Долги!$D$19-SUM($AL114:$AU114),2)-(SUM($H114:P114)-SUM($AL114:AT114)),2)))</f>
        <v>0.0</v>
      </c>
      <c r="R114" s="31">
        <f>IF(R113+AB114-H114&lt;=0.01,0,ROUND(R113+AB114-H114,2))</f>
        <v>0.0</v>
      </c>
      <c r="S114" s="31">
        <f>IF(S113+AC114-I114&lt;=0.01,0,ROUND(S113+AC114-I114,2))</f>
        <v>0.0</v>
      </c>
      <c r="T114" s="31">
        <f>IF(T113+AD114-J114&lt;=0.01,0,ROUND(T113+AD114-J114,2))</f>
        <v>0.0</v>
      </c>
      <c r="U114" s="31">
        <f>IF(U113+AE114-K114&lt;=0.01,0,ROUND(U113+AE114-K114,2))</f>
        <v>0.0</v>
      </c>
      <c r="V114" s="31">
        <f>IF(V113+AF114-L114&lt;=0.01,0,ROUND(V113+AF114-L114,2))</f>
        <v>0.0</v>
      </c>
      <c r="W114" s="31">
        <f>IF(W113+AG114-M114&lt;=0.01,0,ROUND(W113+AG114-M114,2))</f>
        <v>0.0</v>
      </c>
      <c r="X114" s="31">
        <f>IF(X113+AH114-N114&lt;=0.01,0,ROUND(X113+AH114-N114,2))</f>
        <v>0.0</v>
      </c>
      <c r="Y114" s="31">
        <f>IF(Y113+AI114-O114&lt;=0.01,0,ROUND(Y113+AI114-O114,2))</f>
        <v>0.0</v>
      </c>
      <c r="Z114" s="31">
        <f>IF(Z113+AJ114-P114&lt;=0.01,0,ROUND(Z113+AJ114-P114,2))</f>
        <v>0.0</v>
      </c>
      <c r="AA114" s="31">
        <f>IF(AA113+AK114-Q114&lt;=0.01,0,ROUND(AA113+AK114-Q114,2))</f>
        <v>0.0</v>
      </c>
      <c r="AB114" s="31">
        <f>ROUND(R113*AB$5/1200,2)</f>
        <v>0.0</v>
      </c>
      <c r="AC114" s="31">
        <f>ROUND(S113*AC$5/1200,2)</f>
        <v>0.0</v>
      </c>
      <c r="AD114" s="31">
        <f>ROUND(T113*AD$5/1200,2)</f>
        <v>0.0</v>
      </c>
      <c r="AE114" s="31">
        <f>ROUND(U113*AE$5/1200,2)</f>
        <v>0.0</v>
      </c>
      <c r="AF114" s="31">
        <f>ROUND(V113*AF$5/1200,2)</f>
        <v>0.0</v>
      </c>
      <c r="AG114" s="31">
        <f>ROUND(W113*AG$5/1200,2)</f>
        <v>0.0</v>
      </c>
      <c r="AH114" s="31">
        <f>ROUND(X113*AH$5/1200,2)</f>
        <v>0.0</v>
      </c>
      <c r="AI114" s="31">
        <f>ROUND(Y113*AI$5/1200,2)</f>
        <v>0.0</v>
      </c>
      <c r="AJ114" s="31">
        <f>ROUND(Z113*AJ$5/1200,2)</f>
        <v>0.0</v>
      </c>
      <c r="AK114" s="31">
        <f>ROUND(AA113*AK$5/1200,2)</f>
        <v>0.0</v>
      </c>
      <c r="AL114" s="31">
        <f>MIN(AL$5,R113+AB114)</f>
        <v>0.0</v>
      </c>
      <c r="AM114" s="31">
        <f>MIN(AM$5,S113+AC114)</f>
        <v>0.0</v>
      </c>
      <c r="AN114" s="31">
        <f>MIN(AN$5,T113+AD114)</f>
        <v>0.0</v>
      </c>
      <c r="AO114" s="31">
        <f>MIN(AO$5,U113+AE114)</f>
        <v>0.0</v>
      </c>
      <c r="AP114" s="31">
        <f>MIN(AP$5,V113+AF114)</f>
        <v>0.0</v>
      </c>
      <c r="AQ114" s="31">
        <f>MIN(AQ$5,W113+AG114)</f>
        <v>0.0</v>
      </c>
      <c r="AR114" s="31">
        <f>MIN(AR$5,X113+AH114)</f>
        <v>0.0</v>
      </c>
      <c r="AS114" s="31">
        <f>MIN(AS$5,Y113+AI114)</f>
        <v>0.0</v>
      </c>
      <c r="AT114" s="31">
        <f>MIN(AT$5,Z113+AJ114)</f>
        <v>0.0</v>
      </c>
      <c r="AU114" s="31">
        <f>MIN(AU$5,AA113+AK114)</f>
        <v>0.0</v>
      </c>
    </row>
    <row r="115">
      <c r="A115" s="25" t="str">
        <f>IF(F114&gt;0.005,110,"")</f>
        <v/>
      </c>
      <c r="B115" s="33" t="str">
        <f>IF(A115="","",EDATE(Долги!$D$5,109))</f>
        <v/>
      </c>
      <c r="C115" s="31">
        <f>SUM(H115:Q115)</f>
        <v>0.0</v>
      </c>
      <c r="D115" s="31">
        <f>SUM(AB115:AK115)</f>
        <v>0.0</v>
      </c>
      <c r="E115" s="31">
        <f>C115-D115</f>
        <v>0.0</v>
      </c>
      <c r="F115" s="31">
        <f>SUM(R115:AA115)</f>
        <v>0.0</v>
      </c>
      <c r="G115" s="34" t="str">
        <f>IF(OR(A115="",$F$5&lt;=0),"",REPT("█",ROUND(20*F115/$F$5,0)))</f>
        <v/>
      </c>
      <c r="H115" s="31">
        <f>AL115+MIN(R114+AB115-AL115,MAX(0,ROUND(Долги!$D$19-SUM($AL115:$AU115),2)))</f>
        <v>0.0</v>
      </c>
      <c r="I115" s="31">
        <f>AM115+MIN(S114+AC115-AM115,MAX(0,ROUND(ROUND(Долги!$D$19-SUM($AL115:$AU115),2)-(SUM($H115:H115)-SUM($AL115:AL115)),2)))</f>
        <v>0.0</v>
      </c>
      <c r="J115" s="31">
        <f>AN115+MIN(T114+AD115-AN115,MAX(0,ROUND(ROUND(Долги!$D$19-SUM($AL115:$AU115),2)-(SUM($H115:I115)-SUM($AL115:AM115)),2)))</f>
        <v>0.0</v>
      </c>
      <c r="K115" s="31">
        <f>AO115+MIN(U114+AE115-AO115,MAX(0,ROUND(ROUND(Долги!$D$19-SUM($AL115:$AU115),2)-(SUM($H115:J115)-SUM($AL115:AN115)),2)))</f>
        <v>0.0</v>
      </c>
      <c r="L115" s="31">
        <f>AP115+MIN(V114+AF115-AP115,MAX(0,ROUND(ROUND(Долги!$D$19-SUM($AL115:$AU115),2)-(SUM($H115:K115)-SUM($AL115:AO115)),2)))</f>
        <v>0.0</v>
      </c>
      <c r="M115" s="31">
        <f>AQ115+MIN(W114+AG115-AQ115,MAX(0,ROUND(ROUND(Долги!$D$19-SUM($AL115:$AU115),2)-(SUM($H115:L115)-SUM($AL115:AP115)),2)))</f>
        <v>0.0</v>
      </c>
      <c r="N115" s="31">
        <f>AR115+MIN(X114+AH115-AR115,MAX(0,ROUND(ROUND(Долги!$D$19-SUM($AL115:$AU115),2)-(SUM($H115:M115)-SUM($AL115:AQ115)),2)))</f>
        <v>0.0</v>
      </c>
      <c r="O115" s="31">
        <f>AS115+MIN(Y114+AI115-AS115,MAX(0,ROUND(ROUND(Долги!$D$19-SUM($AL115:$AU115),2)-(SUM($H115:N115)-SUM($AL115:AR115)),2)))</f>
        <v>0.0</v>
      </c>
      <c r="P115" s="31">
        <f>AT115+MIN(Z114+AJ115-AT115,MAX(0,ROUND(ROUND(Долги!$D$19-SUM($AL115:$AU115),2)-(SUM($H115:O115)-SUM($AL115:AS115)),2)))</f>
        <v>0.0</v>
      </c>
      <c r="Q115" s="31">
        <f>AU115+MIN(AA114+AK115-AU115,MAX(0,ROUND(ROUND(Долги!$D$19-SUM($AL115:$AU115),2)-(SUM($H115:P115)-SUM($AL115:AT115)),2)))</f>
        <v>0.0</v>
      </c>
      <c r="R115" s="31">
        <f>IF(R114+AB115-H115&lt;=0.01,0,ROUND(R114+AB115-H115,2))</f>
        <v>0.0</v>
      </c>
      <c r="S115" s="31">
        <f>IF(S114+AC115-I115&lt;=0.01,0,ROUND(S114+AC115-I115,2))</f>
        <v>0.0</v>
      </c>
      <c r="T115" s="31">
        <f>IF(T114+AD115-J115&lt;=0.01,0,ROUND(T114+AD115-J115,2))</f>
        <v>0.0</v>
      </c>
      <c r="U115" s="31">
        <f>IF(U114+AE115-K115&lt;=0.01,0,ROUND(U114+AE115-K115,2))</f>
        <v>0.0</v>
      </c>
      <c r="V115" s="31">
        <f>IF(V114+AF115-L115&lt;=0.01,0,ROUND(V114+AF115-L115,2))</f>
        <v>0.0</v>
      </c>
      <c r="W115" s="31">
        <f>IF(W114+AG115-M115&lt;=0.01,0,ROUND(W114+AG115-M115,2))</f>
        <v>0.0</v>
      </c>
      <c r="X115" s="31">
        <f>IF(X114+AH115-N115&lt;=0.01,0,ROUND(X114+AH115-N115,2))</f>
        <v>0.0</v>
      </c>
      <c r="Y115" s="31">
        <f>IF(Y114+AI115-O115&lt;=0.01,0,ROUND(Y114+AI115-O115,2))</f>
        <v>0.0</v>
      </c>
      <c r="Z115" s="31">
        <f>IF(Z114+AJ115-P115&lt;=0.01,0,ROUND(Z114+AJ115-P115,2))</f>
        <v>0.0</v>
      </c>
      <c r="AA115" s="31">
        <f>IF(AA114+AK115-Q115&lt;=0.01,0,ROUND(AA114+AK115-Q115,2))</f>
        <v>0.0</v>
      </c>
      <c r="AB115" s="31">
        <f>ROUND(R114*AB$5/1200,2)</f>
        <v>0.0</v>
      </c>
      <c r="AC115" s="31">
        <f>ROUND(S114*AC$5/1200,2)</f>
        <v>0.0</v>
      </c>
      <c r="AD115" s="31">
        <f>ROUND(T114*AD$5/1200,2)</f>
        <v>0.0</v>
      </c>
      <c r="AE115" s="31">
        <f>ROUND(U114*AE$5/1200,2)</f>
        <v>0.0</v>
      </c>
      <c r="AF115" s="31">
        <f>ROUND(V114*AF$5/1200,2)</f>
        <v>0.0</v>
      </c>
      <c r="AG115" s="31">
        <f>ROUND(W114*AG$5/1200,2)</f>
        <v>0.0</v>
      </c>
      <c r="AH115" s="31">
        <f>ROUND(X114*AH$5/1200,2)</f>
        <v>0.0</v>
      </c>
      <c r="AI115" s="31">
        <f>ROUND(Y114*AI$5/1200,2)</f>
        <v>0.0</v>
      </c>
      <c r="AJ115" s="31">
        <f>ROUND(Z114*AJ$5/1200,2)</f>
        <v>0.0</v>
      </c>
      <c r="AK115" s="31">
        <f>ROUND(AA114*AK$5/1200,2)</f>
        <v>0.0</v>
      </c>
      <c r="AL115" s="31">
        <f>MIN(AL$5,R114+AB115)</f>
        <v>0.0</v>
      </c>
      <c r="AM115" s="31">
        <f>MIN(AM$5,S114+AC115)</f>
        <v>0.0</v>
      </c>
      <c r="AN115" s="31">
        <f>MIN(AN$5,T114+AD115)</f>
        <v>0.0</v>
      </c>
      <c r="AO115" s="31">
        <f>MIN(AO$5,U114+AE115)</f>
        <v>0.0</v>
      </c>
      <c r="AP115" s="31">
        <f>MIN(AP$5,V114+AF115)</f>
        <v>0.0</v>
      </c>
      <c r="AQ115" s="31">
        <f>MIN(AQ$5,W114+AG115)</f>
        <v>0.0</v>
      </c>
      <c r="AR115" s="31">
        <f>MIN(AR$5,X114+AH115)</f>
        <v>0.0</v>
      </c>
      <c r="AS115" s="31">
        <f>MIN(AS$5,Y114+AI115)</f>
        <v>0.0</v>
      </c>
      <c r="AT115" s="31">
        <f>MIN(AT$5,Z114+AJ115)</f>
        <v>0.0</v>
      </c>
      <c r="AU115" s="31">
        <f>MIN(AU$5,AA114+AK115)</f>
        <v>0.0</v>
      </c>
    </row>
    <row r="116">
      <c r="A116" s="25" t="str">
        <f>IF(F115&gt;0.005,111,"")</f>
        <v/>
      </c>
      <c r="B116" s="33" t="str">
        <f>IF(A116="","",EDATE(Долги!$D$5,110))</f>
        <v/>
      </c>
      <c r="C116" s="31">
        <f>SUM(H116:Q116)</f>
        <v>0.0</v>
      </c>
      <c r="D116" s="31">
        <f>SUM(AB116:AK116)</f>
        <v>0.0</v>
      </c>
      <c r="E116" s="31">
        <f>C116-D116</f>
        <v>0.0</v>
      </c>
      <c r="F116" s="31">
        <f>SUM(R116:AA116)</f>
        <v>0.0</v>
      </c>
      <c r="G116" s="34" t="str">
        <f>IF(OR(A116="",$F$5&lt;=0),"",REPT("█",ROUND(20*F116/$F$5,0)))</f>
        <v/>
      </c>
      <c r="H116" s="31">
        <f>AL116+MIN(R115+AB116-AL116,MAX(0,ROUND(Долги!$D$19-SUM($AL116:$AU116),2)))</f>
        <v>0.0</v>
      </c>
      <c r="I116" s="31">
        <f>AM116+MIN(S115+AC116-AM116,MAX(0,ROUND(ROUND(Долги!$D$19-SUM($AL116:$AU116),2)-(SUM($H116:H116)-SUM($AL116:AL116)),2)))</f>
        <v>0.0</v>
      </c>
      <c r="J116" s="31">
        <f>AN116+MIN(T115+AD116-AN116,MAX(0,ROUND(ROUND(Долги!$D$19-SUM($AL116:$AU116),2)-(SUM($H116:I116)-SUM($AL116:AM116)),2)))</f>
        <v>0.0</v>
      </c>
      <c r="K116" s="31">
        <f>AO116+MIN(U115+AE116-AO116,MAX(0,ROUND(ROUND(Долги!$D$19-SUM($AL116:$AU116),2)-(SUM($H116:J116)-SUM($AL116:AN116)),2)))</f>
        <v>0.0</v>
      </c>
      <c r="L116" s="31">
        <f>AP116+MIN(V115+AF116-AP116,MAX(0,ROUND(ROUND(Долги!$D$19-SUM($AL116:$AU116),2)-(SUM($H116:K116)-SUM($AL116:AO116)),2)))</f>
        <v>0.0</v>
      </c>
      <c r="M116" s="31">
        <f>AQ116+MIN(W115+AG116-AQ116,MAX(0,ROUND(ROUND(Долги!$D$19-SUM($AL116:$AU116),2)-(SUM($H116:L116)-SUM($AL116:AP116)),2)))</f>
        <v>0.0</v>
      </c>
      <c r="N116" s="31">
        <f>AR116+MIN(X115+AH116-AR116,MAX(0,ROUND(ROUND(Долги!$D$19-SUM($AL116:$AU116),2)-(SUM($H116:M116)-SUM($AL116:AQ116)),2)))</f>
        <v>0.0</v>
      </c>
      <c r="O116" s="31">
        <f>AS116+MIN(Y115+AI116-AS116,MAX(0,ROUND(ROUND(Долги!$D$19-SUM($AL116:$AU116),2)-(SUM($H116:N116)-SUM($AL116:AR116)),2)))</f>
        <v>0.0</v>
      </c>
      <c r="P116" s="31">
        <f>AT116+MIN(Z115+AJ116-AT116,MAX(0,ROUND(ROUND(Долги!$D$19-SUM($AL116:$AU116),2)-(SUM($H116:O116)-SUM($AL116:AS116)),2)))</f>
        <v>0.0</v>
      </c>
      <c r="Q116" s="31">
        <f>AU116+MIN(AA115+AK116-AU116,MAX(0,ROUND(ROUND(Долги!$D$19-SUM($AL116:$AU116),2)-(SUM($H116:P116)-SUM($AL116:AT116)),2)))</f>
        <v>0.0</v>
      </c>
      <c r="R116" s="31">
        <f>IF(R115+AB116-H116&lt;=0.01,0,ROUND(R115+AB116-H116,2))</f>
        <v>0.0</v>
      </c>
      <c r="S116" s="31">
        <f>IF(S115+AC116-I116&lt;=0.01,0,ROUND(S115+AC116-I116,2))</f>
        <v>0.0</v>
      </c>
      <c r="T116" s="31">
        <f>IF(T115+AD116-J116&lt;=0.01,0,ROUND(T115+AD116-J116,2))</f>
        <v>0.0</v>
      </c>
      <c r="U116" s="31">
        <f>IF(U115+AE116-K116&lt;=0.01,0,ROUND(U115+AE116-K116,2))</f>
        <v>0.0</v>
      </c>
      <c r="V116" s="31">
        <f>IF(V115+AF116-L116&lt;=0.01,0,ROUND(V115+AF116-L116,2))</f>
        <v>0.0</v>
      </c>
      <c r="W116" s="31">
        <f>IF(W115+AG116-M116&lt;=0.01,0,ROUND(W115+AG116-M116,2))</f>
        <v>0.0</v>
      </c>
      <c r="X116" s="31">
        <f>IF(X115+AH116-N116&lt;=0.01,0,ROUND(X115+AH116-N116,2))</f>
        <v>0.0</v>
      </c>
      <c r="Y116" s="31">
        <f>IF(Y115+AI116-O116&lt;=0.01,0,ROUND(Y115+AI116-O116,2))</f>
        <v>0.0</v>
      </c>
      <c r="Z116" s="31">
        <f>IF(Z115+AJ116-P116&lt;=0.01,0,ROUND(Z115+AJ116-P116,2))</f>
        <v>0.0</v>
      </c>
      <c r="AA116" s="31">
        <f>IF(AA115+AK116-Q116&lt;=0.01,0,ROUND(AA115+AK116-Q116,2))</f>
        <v>0.0</v>
      </c>
      <c r="AB116" s="31">
        <f>ROUND(R115*AB$5/1200,2)</f>
        <v>0.0</v>
      </c>
      <c r="AC116" s="31">
        <f>ROUND(S115*AC$5/1200,2)</f>
        <v>0.0</v>
      </c>
      <c r="AD116" s="31">
        <f>ROUND(T115*AD$5/1200,2)</f>
        <v>0.0</v>
      </c>
      <c r="AE116" s="31">
        <f>ROUND(U115*AE$5/1200,2)</f>
        <v>0.0</v>
      </c>
      <c r="AF116" s="31">
        <f>ROUND(V115*AF$5/1200,2)</f>
        <v>0.0</v>
      </c>
      <c r="AG116" s="31">
        <f>ROUND(W115*AG$5/1200,2)</f>
        <v>0.0</v>
      </c>
      <c r="AH116" s="31">
        <f>ROUND(X115*AH$5/1200,2)</f>
        <v>0.0</v>
      </c>
      <c r="AI116" s="31">
        <f>ROUND(Y115*AI$5/1200,2)</f>
        <v>0.0</v>
      </c>
      <c r="AJ116" s="31">
        <f>ROUND(Z115*AJ$5/1200,2)</f>
        <v>0.0</v>
      </c>
      <c r="AK116" s="31">
        <f>ROUND(AA115*AK$5/1200,2)</f>
        <v>0.0</v>
      </c>
      <c r="AL116" s="31">
        <f>MIN(AL$5,R115+AB116)</f>
        <v>0.0</v>
      </c>
      <c r="AM116" s="31">
        <f>MIN(AM$5,S115+AC116)</f>
        <v>0.0</v>
      </c>
      <c r="AN116" s="31">
        <f>MIN(AN$5,T115+AD116)</f>
        <v>0.0</v>
      </c>
      <c r="AO116" s="31">
        <f>MIN(AO$5,U115+AE116)</f>
        <v>0.0</v>
      </c>
      <c r="AP116" s="31">
        <f>MIN(AP$5,V115+AF116)</f>
        <v>0.0</v>
      </c>
      <c r="AQ116" s="31">
        <f>MIN(AQ$5,W115+AG116)</f>
        <v>0.0</v>
      </c>
      <c r="AR116" s="31">
        <f>MIN(AR$5,X115+AH116)</f>
        <v>0.0</v>
      </c>
      <c r="AS116" s="31">
        <f>MIN(AS$5,Y115+AI116)</f>
        <v>0.0</v>
      </c>
      <c r="AT116" s="31">
        <f>MIN(AT$5,Z115+AJ116)</f>
        <v>0.0</v>
      </c>
      <c r="AU116" s="31">
        <f>MIN(AU$5,AA115+AK116)</f>
        <v>0.0</v>
      </c>
    </row>
    <row r="117">
      <c r="A117" s="25" t="str">
        <f>IF(F116&gt;0.005,112,"")</f>
        <v/>
      </c>
      <c r="B117" s="33" t="str">
        <f>IF(A117="","",EDATE(Долги!$D$5,111))</f>
        <v/>
      </c>
      <c r="C117" s="31">
        <f>SUM(H117:Q117)</f>
        <v>0.0</v>
      </c>
      <c r="D117" s="31">
        <f>SUM(AB117:AK117)</f>
        <v>0.0</v>
      </c>
      <c r="E117" s="31">
        <f>C117-D117</f>
        <v>0.0</v>
      </c>
      <c r="F117" s="31">
        <f>SUM(R117:AA117)</f>
        <v>0.0</v>
      </c>
      <c r="G117" s="34" t="str">
        <f>IF(OR(A117="",$F$5&lt;=0),"",REPT("█",ROUND(20*F117/$F$5,0)))</f>
        <v/>
      </c>
      <c r="H117" s="31">
        <f>AL117+MIN(R116+AB117-AL117,MAX(0,ROUND(Долги!$D$19-SUM($AL117:$AU117),2)))</f>
        <v>0.0</v>
      </c>
      <c r="I117" s="31">
        <f>AM117+MIN(S116+AC117-AM117,MAX(0,ROUND(ROUND(Долги!$D$19-SUM($AL117:$AU117),2)-(SUM($H117:H117)-SUM($AL117:AL117)),2)))</f>
        <v>0.0</v>
      </c>
      <c r="J117" s="31">
        <f>AN117+MIN(T116+AD117-AN117,MAX(0,ROUND(ROUND(Долги!$D$19-SUM($AL117:$AU117),2)-(SUM($H117:I117)-SUM($AL117:AM117)),2)))</f>
        <v>0.0</v>
      </c>
      <c r="K117" s="31">
        <f>AO117+MIN(U116+AE117-AO117,MAX(0,ROUND(ROUND(Долги!$D$19-SUM($AL117:$AU117),2)-(SUM($H117:J117)-SUM($AL117:AN117)),2)))</f>
        <v>0.0</v>
      </c>
      <c r="L117" s="31">
        <f>AP117+MIN(V116+AF117-AP117,MAX(0,ROUND(ROUND(Долги!$D$19-SUM($AL117:$AU117),2)-(SUM($H117:K117)-SUM($AL117:AO117)),2)))</f>
        <v>0.0</v>
      </c>
      <c r="M117" s="31">
        <f>AQ117+MIN(W116+AG117-AQ117,MAX(0,ROUND(ROUND(Долги!$D$19-SUM($AL117:$AU117),2)-(SUM($H117:L117)-SUM($AL117:AP117)),2)))</f>
        <v>0.0</v>
      </c>
      <c r="N117" s="31">
        <f>AR117+MIN(X116+AH117-AR117,MAX(0,ROUND(ROUND(Долги!$D$19-SUM($AL117:$AU117),2)-(SUM($H117:M117)-SUM($AL117:AQ117)),2)))</f>
        <v>0.0</v>
      </c>
      <c r="O117" s="31">
        <f>AS117+MIN(Y116+AI117-AS117,MAX(0,ROUND(ROUND(Долги!$D$19-SUM($AL117:$AU117),2)-(SUM($H117:N117)-SUM($AL117:AR117)),2)))</f>
        <v>0.0</v>
      </c>
      <c r="P117" s="31">
        <f>AT117+MIN(Z116+AJ117-AT117,MAX(0,ROUND(ROUND(Долги!$D$19-SUM($AL117:$AU117),2)-(SUM($H117:O117)-SUM($AL117:AS117)),2)))</f>
        <v>0.0</v>
      </c>
      <c r="Q117" s="31">
        <f>AU117+MIN(AA116+AK117-AU117,MAX(0,ROUND(ROUND(Долги!$D$19-SUM($AL117:$AU117),2)-(SUM($H117:P117)-SUM($AL117:AT117)),2)))</f>
        <v>0.0</v>
      </c>
      <c r="R117" s="31">
        <f>IF(R116+AB117-H117&lt;=0.01,0,ROUND(R116+AB117-H117,2))</f>
        <v>0.0</v>
      </c>
      <c r="S117" s="31">
        <f>IF(S116+AC117-I117&lt;=0.01,0,ROUND(S116+AC117-I117,2))</f>
        <v>0.0</v>
      </c>
      <c r="T117" s="31">
        <f>IF(T116+AD117-J117&lt;=0.01,0,ROUND(T116+AD117-J117,2))</f>
        <v>0.0</v>
      </c>
      <c r="U117" s="31">
        <f>IF(U116+AE117-K117&lt;=0.01,0,ROUND(U116+AE117-K117,2))</f>
        <v>0.0</v>
      </c>
      <c r="V117" s="31">
        <f>IF(V116+AF117-L117&lt;=0.01,0,ROUND(V116+AF117-L117,2))</f>
        <v>0.0</v>
      </c>
      <c r="W117" s="31">
        <f>IF(W116+AG117-M117&lt;=0.01,0,ROUND(W116+AG117-M117,2))</f>
        <v>0.0</v>
      </c>
      <c r="X117" s="31">
        <f>IF(X116+AH117-N117&lt;=0.01,0,ROUND(X116+AH117-N117,2))</f>
        <v>0.0</v>
      </c>
      <c r="Y117" s="31">
        <f>IF(Y116+AI117-O117&lt;=0.01,0,ROUND(Y116+AI117-O117,2))</f>
        <v>0.0</v>
      </c>
      <c r="Z117" s="31">
        <f>IF(Z116+AJ117-P117&lt;=0.01,0,ROUND(Z116+AJ117-P117,2))</f>
        <v>0.0</v>
      </c>
      <c r="AA117" s="31">
        <f>IF(AA116+AK117-Q117&lt;=0.01,0,ROUND(AA116+AK117-Q117,2))</f>
        <v>0.0</v>
      </c>
      <c r="AB117" s="31">
        <f>ROUND(R116*AB$5/1200,2)</f>
        <v>0.0</v>
      </c>
      <c r="AC117" s="31">
        <f>ROUND(S116*AC$5/1200,2)</f>
        <v>0.0</v>
      </c>
      <c r="AD117" s="31">
        <f>ROUND(T116*AD$5/1200,2)</f>
        <v>0.0</v>
      </c>
      <c r="AE117" s="31">
        <f>ROUND(U116*AE$5/1200,2)</f>
        <v>0.0</v>
      </c>
      <c r="AF117" s="31">
        <f>ROUND(V116*AF$5/1200,2)</f>
        <v>0.0</v>
      </c>
      <c r="AG117" s="31">
        <f>ROUND(W116*AG$5/1200,2)</f>
        <v>0.0</v>
      </c>
      <c r="AH117" s="31">
        <f>ROUND(X116*AH$5/1200,2)</f>
        <v>0.0</v>
      </c>
      <c r="AI117" s="31">
        <f>ROUND(Y116*AI$5/1200,2)</f>
        <v>0.0</v>
      </c>
      <c r="AJ117" s="31">
        <f>ROUND(Z116*AJ$5/1200,2)</f>
        <v>0.0</v>
      </c>
      <c r="AK117" s="31">
        <f>ROUND(AA116*AK$5/1200,2)</f>
        <v>0.0</v>
      </c>
      <c r="AL117" s="31">
        <f>MIN(AL$5,R116+AB117)</f>
        <v>0.0</v>
      </c>
      <c r="AM117" s="31">
        <f>MIN(AM$5,S116+AC117)</f>
        <v>0.0</v>
      </c>
      <c r="AN117" s="31">
        <f>MIN(AN$5,T116+AD117)</f>
        <v>0.0</v>
      </c>
      <c r="AO117" s="31">
        <f>MIN(AO$5,U116+AE117)</f>
        <v>0.0</v>
      </c>
      <c r="AP117" s="31">
        <f>MIN(AP$5,V116+AF117)</f>
        <v>0.0</v>
      </c>
      <c r="AQ117" s="31">
        <f>MIN(AQ$5,W116+AG117)</f>
        <v>0.0</v>
      </c>
      <c r="AR117" s="31">
        <f>MIN(AR$5,X116+AH117)</f>
        <v>0.0</v>
      </c>
      <c r="AS117" s="31">
        <f>MIN(AS$5,Y116+AI117)</f>
        <v>0.0</v>
      </c>
      <c r="AT117" s="31">
        <f>MIN(AT$5,Z116+AJ117)</f>
        <v>0.0</v>
      </c>
      <c r="AU117" s="31">
        <f>MIN(AU$5,AA116+AK117)</f>
        <v>0.0</v>
      </c>
    </row>
    <row r="118">
      <c r="A118" s="25" t="str">
        <f>IF(F117&gt;0.005,113,"")</f>
        <v/>
      </c>
      <c r="B118" s="33" t="str">
        <f>IF(A118="","",EDATE(Долги!$D$5,112))</f>
        <v/>
      </c>
      <c r="C118" s="31">
        <f>SUM(H118:Q118)</f>
        <v>0.0</v>
      </c>
      <c r="D118" s="31">
        <f>SUM(AB118:AK118)</f>
        <v>0.0</v>
      </c>
      <c r="E118" s="31">
        <f>C118-D118</f>
        <v>0.0</v>
      </c>
      <c r="F118" s="31">
        <f>SUM(R118:AA118)</f>
        <v>0.0</v>
      </c>
      <c r="G118" s="34" t="str">
        <f>IF(OR(A118="",$F$5&lt;=0),"",REPT("█",ROUND(20*F118/$F$5,0)))</f>
        <v/>
      </c>
      <c r="H118" s="31">
        <f>AL118+MIN(R117+AB118-AL118,MAX(0,ROUND(Долги!$D$19-SUM($AL118:$AU118),2)))</f>
        <v>0.0</v>
      </c>
      <c r="I118" s="31">
        <f>AM118+MIN(S117+AC118-AM118,MAX(0,ROUND(ROUND(Долги!$D$19-SUM($AL118:$AU118),2)-(SUM($H118:H118)-SUM($AL118:AL118)),2)))</f>
        <v>0.0</v>
      </c>
      <c r="J118" s="31">
        <f>AN118+MIN(T117+AD118-AN118,MAX(0,ROUND(ROUND(Долги!$D$19-SUM($AL118:$AU118),2)-(SUM($H118:I118)-SUM($AL118:AM118)),2)))</f>
        <v>0.0</v>
      </c>
      <c r="K118" s="31">
        <f>AO118+MIN(U117+AE118-AO118,MAX(0,ROUND(ROUND(Долги!$D$19-SUM($AL118:$AU118),2)-(SUM($H118:J118)-SUM($AL118:AN118)),2)))</f>
        <v>0.0</v>
      </c>
      <c r="L118" s="31">
        <f>AP118+MIN(V117+AF118-AP118,MAX(0,ROUND(ROUND(Долги!$D$19-SUM($AL118:$AU118),2)-(SUM($H118:K118)-SUM($AL118:AO118)),2)))</f>
        <v>0.0</v>
      </c>
      <c r="M118" s="31">
        <f>AQ118+MIN(W117+AG118-AQ118,MAX(0,ROUND(ROUND(Долги!$D$19-SUM($AL118:$AU118),2)-(SUM($H118:L118)-SUM($AL118:AP118)),2)))</f>
        <v>0.0</v>
      </c>
      <c r="N118" s="31">
        <f>AR118+MIN(X117+AH118-AR118,MAX(0,ROUND(ROUND(Долги!$D$19-SUM($AL118:$AU118),2)-(SUM($H118:M118)-SUM($AL118:AQ118)),2)))</f>
        <v>0.0</v>
      </c>
      <c r="O118" s="31">
        <f>AS118+MIN(Y117+AI118-AS118,MAX(0,ROUND(ROUND(Долги!$D$19-SUM($AL118:$AU118),2)-(SUM($H118:N118)-SUM($AL118:AR118)),2)))</f>
        <v>0.0</v>
      </c>
      <c r="P118" s="31">
        <f>AT118+MIN(Z117+AJ118-AT118,MAX(0,ROUND(ROUND(Долги!$D$19-SUM($AL118:$AU118),2)-(SUM($H118:O118)-SUM($AL118:AS118)),2)))</f>
        <v>0.0</v>
      </c>
      <c r="Q118" s="31">
        <f>AU118+MIN(AA117+AK118-AU118,MAX(0,ROUND(ROUND(Долги!$D$19-SUM($AL118:$AU118),2)-(SUM($H118:P118)-SUM($AL118:AT118)),2)))</f>
        <v>0.0</v>
      </c>
      <c r="R118" s="31">
        <f>IF(R117+AB118-H118&lt;=0.01,0,ROUND(R117+AB118-H118,2))</f>
        <v>0.0</v>
      </c>
      <c r="S118" s="31">
        <f>IF(S117+AC118-I118&lt;=0.01,0,ROUND(S117+AC118-I118,2))</f>
        <v>0.0</v>
      </c>
      <c r="T118" s="31">
        <f>IF(T117+AD118-J118&lt;=0.01,0,ROUND(T117+AD118-J118,2))</f>
        <v>0.0</v>
      </c>
      <c r="U118" s="31">
        <f>IF(U117+AE118-K118&lt;=0.01,0,ROUND(U117+AE118-K118,2))</f>
        <v>0.0</v>
      </c>
      <c r="V118" s="31">
        <f>IF(V117+AF118-L118&lt;=0.01,0,ROUND(V117+AF118-L118,2))</f>
        <v>0.0</v>
      </c>
      <c r="W118" s="31">
        <f>IF(W117+AG118-M118&lt;=0.01,0,ROUND(W117+AG118-M118,2))</f>
        <v>0.0</v>
      </c>
      <c r="X118" s="31">
        <f>IF(X117+AH118-N118&lt;=0.01,0,ROUND(X117+AH118-N118,2))</f>
        <v>0.0</v>
      </c>
      <c r="Y118" s="31">
        <f>IF(Y117+AI118-O118&lt;=0.01,0,ROUND(Y117+AI118-O118,2))</f>
        <v>0.0</v>
      </c>
      <c r="Z118" s="31">
        <f>IF(Z117+AJ118-P118&lt;=0.01,0,ROUND(Z117+AJ118-P118,2))</f>
        <v>0.0</v>
      </c>
      <c r="AA118" s="31">
        <f>IF(AA117+AK118-Q118&lt;=0.01,0,ROUND(AA117+AK118-Q118,2))</f>
        <v>0.0</v>
      </c>
      <c r="AB118" s="31">
        <f>ROUND(R117*AB$5/1200,2)</f>
        <v>0.0</v>
      </c>
      <c r="AC118" s="31">
        <f>ROUND(S117*AC$5/1200,2)</f>
        <v>0.0</v>
      </c>
      <c r="AD118" s="31">
        <f>ROUND(T117*AD$5/1200,2)</f>
        <v>0.0</v>
      </c>
      <c r="AE118" s="31">
        <f>ROUND(U117*AE$5/1200,2)</f>
        <v>0.0</v>
      </c>
      <c r="AF118" s="31">
        <f>ROUND(V117*AF$5/1200,2)</f>
        <v>0.0</v>
      </c>
      <c r="AG118" s="31">
        <f>ROUND(W117*AG$5/1200,2)</f>
        <v>0.0</v>
      </c>
      <c r="AH118" s="31">
        <f>ROUND(X117*AH$5/1200,2)</f>
        <v>0.0</v>
      </c>
      <c r="AI118" s="31">
        <f>ROUND(Y117*AI$5/1200,2)</f>
        <v>0.0</v>
      </c>
      <c r="AJ118" s="31">
        <f>ROUND(Z117*AJ$5/1200,2)</f>
        <v>0.0</v>
      </c>
      <c r="AK118" s="31">
        <f>ROUND(AA117*AK$5/1200,2)</f>
        <v>0.0</v>
      </c>
      <c r="AL118" s="31">
        <f>MIN(AL$5,R117+AB118)</f>
        <v>0.0</v>
      </c>
      <c r="AM118" s="31">
        <f>MIN(AM$5,S117+AC118)</f>
        <v>0.0</v>
      </c>
      <c r="AN118" s="31">
        <f>MIN(AN$5,T117+AD118)</f>
        <v>0.0</v>
      </c>
      <c r="AO118" s="31">
        <f>MIN(AO$5,U117+AE118)</f>
        <v>0.0</v>
      </c>
      <c r="AP118" s="31">
        <f>MIN(AP$5,V117+AF118)</f>
        <v>0.0</v>
      </c>
      <c r="AQ118" s="31">
        <f>MIN(AQ$5,W117+AG118)</f>
        <v>0.0</v>
      </c>
      <c r="AR118" s="31">
        <f>MIN(AR$5,X117+AH118)</f>
        <v>0.0</v>
      </c>
      <c r="AS118" s="31">
        <f>MIN(AS$5,Y117+AI118)</f>
        <v>0.0</v>
      </c>
      <c r="AT118" s="31">
        <f>MIN(AT$5,Z117+AJ118)</f>
        <v>0.0</v>
      </c>
      <c r="AU118" s="31">
        <f>MIN(AU$5,AA117+AK118)</f>
        <v>0.0</v>
      </c>
    </row>
    <row r="119">
      <c r="A119" s="25" t="str">
        <f>IF(F118&gt;0.005,114,"")</f>
        <v/>
      </c>
      <c r="B119" s="33" t="str">
        <f>IF(A119="","",EDATE(Долги!$D$5,113))</f>
        <v/>
      </c>
      <c r="C119" s="31">
        <f>SUM(H119:Q119)</f>
        <v>0.0</v>
      </c>
      <c r="D119" s="31">
        <f>SUM(AB119:AK119)</f>
        <v>0.0</v>
      </c>
      <c r="E119" s="31">
        <f>C119-D119</f>
        <v>0.0</v>
      </c>
      <c r="F119" s="31">
        <f>SUM(R119:AA119)</f>
        <v>0.0</v>
      </c>
      <c r="G119" s="34" t="str">
        <f>IF(OR(A119="",$F$5&lt;=0),"",REPT("█",ROUND(20*F119/$F$5,0)))</f>
        <v/>
      </c>
      <c r="H119" s="31">
        <f>AL119+MIN(R118+AB119-AL119,MAX(0,ROUND(Долги!$D$19-SUM($AL119:$AU119),2)))</f>
        <v>0.0</v>
      </c>
      <c r="I119" s="31">
        <f>AM119+MIN(S118+AC119-AM119,MAX(0,ROUND(ROUND(Долги!$D$19-SUM($AL119:$AU119),2)-(SUM($H119:H119)-SUM($AL119:AL119)),2)))</f>
        <v>0.0</v>
      </c>
      <c r="J119" s="31">
        <f>AN119+MIN(T118+AD119-AN119,MAX(0,ROUND(ROUND(Долги!$D$19-SUM($AL119:$AU119),2)-(SUM($H119:I119)-SUM($AL119:AM119)),2)))</f>
        <v>0.0</v>
      </c>
      <c r="K119" s="31">
        <f>AO119+MIN(U118+AE119-AO119,MAX(0,ROUND(ROUND(Долги!$D$19-SUM($AL119:$AU119),2)-(SUM($H119:J119)-SUM($AL119:AN119)),2)))</f>
        <v>0.0</v>
      </c>
      <c r="L119" s="31">
        <f>AP119+MIN(V118+AF119-AP119,MAX(0,ROUND(ROUND(Долги!$D$19-SUM($AL119:$AU119),2)-(SUM($H119:K119)-SUM($AL119:AO119)),2)))</f>
        <v>0.0</v>
      </c>
      <c r="M119" s="31">
        <f>AQ119+MIN(W118+AG119-AQ119,MAX(0,ROUND(ROUND(Долги!$D$19-SUM($AL119:$AU119),2)-(SUM($H119:L119)-SUM($AL119:AP119)),2)))</f>
        <v>0.0</v>
      </c>
      <c r="N119" s="31">
        <f>AR119+MIN(X118+AH119-AR119,MAX(0,ROUND(ROUND(Долги!$D$19-SUM($AL119:$AU119),2)-(SUM($H119:M119)-SUM($AL119:AQ119)),2)))</f>
        <v>0.0</v>
      </c>
      <c r="O119" s="31">
        <f>AS119+MIN(Y118+AI119-AS119,MAX(0,ROUND(ROUND(Долги!$D$19-SUM($AL119:$AU119),2)-(SUM($H119:N119)-SUM($AL119:AR119)),2)))</f>
        <v>0.0</v>
      </c>
      <c r="P119" s="31">
        <f>AT119+MIN(Z118+AJ119-AT119,MAX(0,ROUND(ROUND(Долги!$D$19-SUM($AL119:$AU119),2)-(SUM($H119:O119)-SUM($AL119:AS119)),2)))</f>
        <v>0.0</v>
      </c>
      <c r="Q119" s="31">
        <f>AU119+MIN(AA118+AK119-AU119,MAX(0,ROUND(ROUND(Долги!$D$19-SUM($AL119:$AU119),2)-(SUM($H119:P119)-SUM($AL119:AT119)),2)))</f>
        <v>0.0</v>
      </c>
      <c r="R119" s="31">
        <f>IF(R118+AB119-H119&lt;=0.01,0,ROUND(R118+AB119-H119,2))</f>
        <v>0.0</v>
      </c>
      <c r="S119" s="31">
        <f>IF(S118+AC119-I119&lt;=0.01,0,ROUND(S118+AC119-I119,2))</f>
        <v>0.0</v>
      </c>
      <c r="T119" s="31">
        <f>IF(T118+AD119-J119&lt;=0.01,0,ROUND(T118+AD119-J119,2))</f>
        <v>0.0</v>
      </c>
      <c r="U119" s="31">
        <f>IF(U118+AE119-K119&lt;=0.01,0,ROUND(U118+AE119-K119,2))</f>
        <v>0.0</v>
      </c>
      <c r="V119" s="31">
        <f>IF(V118+AF119-L119&lt;=0.01,0,ROUND(V118+AF119-L119,2))</f>
        <v>0.0</v>
      </c>
      <c r="W119" s="31">
        <f>IF(W118+AG119-M119&lt;=0.01,0,ROUND(W118+AG119-M119,2))</f>
        <v>0.0</v>
      </c>
      <c r="X119" s="31">
        <f>IF(X118+AH119-N119&lt;=0.01,0,ROUND(X118+AH119-N119,2))</f>
        <v>0.0</v>
      </c>
      <c r="Y119" s="31">
        <f>IF(Y118+AI119-O119&lt;=0.01,0,ROUND(Y118+AI119-O119,2))</f>
        <v>0.0</v>
      </c>
      <c r="Z119" s="31">
        <f>IF(Z118+AJ119-P119&lt;=0.01,0,ROUND(Z118+AJ119-P119,2))</f>
        <v>0.0</v>
      </c>
      <c r="AA119" s="31">
        <f>IF(AA118+AK119-Q119&lt;=0.01,0,ROUND(AA118+AK119-Q119,2))</f>
        <v>0.0</v>
      </c>
      <c r="AB119" s="31">
        <f>ROUND(R118*AB$5/1200,2)</f>
        <v>0.0</v>
      </c>
      <c r="AC119" s="31">
        <f>ROUND(S118*AC$5/1200,2)</f>
        <v>0.0</v>
      </c>
      <c r="AD119" s="31">
        <f>ROUND(T118*AD$5/1200,2)</f>
        <v>0.0</v>
      </c>
      <c r="AE119" s="31">
        <f>ROUND(U118*AE$5/1200,2)</f>
        <v>0.0</v>
      </c>
      <c r="AF119" s="31">
        <f>ROUND(V118*AF$5/1200,2)</f>
        <v>0.0</v>
      </c>
      <c r="AG119" s="31">
        <f>ROUND(W118*AG$5/1200,2)</f>
        <v>0.0</v>
      </c>
      <c r="AH119" s="31">
        <f>ROUND(X118*AH$5/1200,2)</f>
        <v>0.0</v>
      </c>
      <c r="AI119" s="31">
        <f>ROUND(Y118*AI$5/1200,2)</f>
        <v>0.0</v>
      </c>
      <c r="AJ119" s="31">
        <f>ROUND(Z118*AJ$5/1200,2)</f>
        <v>0.0</v>
      </c>
      <c r="AK119" s="31">
        <f>ROUND(AA118*AK$5/1200,2)</f>
        <v>0.0</v>
      </c>
      <c r="AL119" s="31">
        <f>MIN(AL$5,R118+AB119)</f>
        <v>0.0</v>
      </c>
      <c r="AM119" s="31">
        <f>MIN(AM$5,S118+AC119)</f>
        <v>0.0</v>
      </c>
      <c r="AN119" s="31">
        <f>MIN(AN$5,T118+AD119)</f>
        <v>0.0</v>
      </c>
      <c r="AO119" s="31">
        <f>MIN(AO$5,U118+AE119)</f>
        <v>0.0</v>
      </c>
      <c r="AP119" s="31">
        <f>MIN(AP$5,V118+AF119)</f>
        <v>0.0</v>
      </c>
      <c r="AQ119" s="31">
        <f>MIN(AQ$5,W118+AG119)</f>
        <v>0.0</v>
      </c>
      <c r="AR119" s="31">
        <f>MIN(AR$5,X118+AH119)</f>
        <v>0.0</v>
      </c>
      <c r="AS119" s="31">
        <f>MIN(AS$5,Y118+AI119)</f>
        <v>0.0</v>
      </c>
      <c r="AT119" s="31">
        <f>MIN(AT$5,Z118+AJ119)</f>
        <v>0.0</v>
      </c>
      <c r="AU119" s="31">
        <f>MIN(AU$5,AA118+AK119)</f>
        <v>0.0</v>
      </c>
    </row>
    <row r="120">
      <c r="A120" s="25" t="str">
        <f>IF(F119&gt;0.005,115,"")</f>
        <v/>
      </c>
      <c r="B120" s="33" t="str">
        <f>IF(A120="","",EDATE(Долги!$D$5,114))</f>
        <v/>
      </c>
      <c r="C120" s="31">
        <f>SUM(H120:Q120)</f>
        <v>0.0</v>
      </c>
      <c r="D120" s="31">
        <f>SUM(AB120:AK120)</f>
        <v>0.0</v>
      </c>
      <c r="E120" s="31">
        <f>C120-D120</f>
        <v>0.0</v>
      </c>
      <c r="F120" s="31">
        <f>SUM(R120:AA120)</f>
        <v>0.0</v>
      </c>
      <c r="G120" s="34" t="str">
        <f>IF(OR(A120="",$F$5&lt;=0),"",REPT("█",ROUND(20*F120/$F$5,0)))</f>
        <v/>
      </c>
      <c r="H120" s="31">
        <f>AL120+MIN(R119+AB120-AL120,MAX(0,ROUND(Долги!$D$19-SUM($AL120:$AU120),2)))</f>
        <v>0.0</v>
      </c>
      <c r="I120" s="31">
        <f>AM120+MIN(S119+AC120-AM120,MAX(0,ROUND(ROUND(Долги!$D$19-SUM($AL120:$AU120),2)-(SUM($H120:H120)-SUM($AL120:AL120)),2)))</f>
        <v>0.0</v>
      </c>
      <c r="J120" s="31">
        <f>AN120+MIN(T119+AD120-AN120,MAX(0,ROUND(ROUND(Долги!$D$19-SUM($AL120:$AU120),2)-(SUM($H120:I120)-SUM($AL120:AM120)),2)))</f>
        <v>0.0</v>
      </c>
      <c r="K120" s="31">
        <f>AO120+MIN(U119+AE120-AO120,MAX(0,ROUND(ROUND(Долги!$D$19-SUM($AL120:$AU120),2)-(SUM($H120:J120)-SUM($AL120:AN120)),2)))</f>
        <v>0.0</v>
      </c>
      <c r="L120" s="31">
        <f>AP120+MIN(V119+AF120-AP120,MAX(0,ROUND(ROUND(Долги!$D$19-SUM($AL120:$AU120),2)-(SUM($H120:K120)-SUM($AL120:AO120)),2)))</f>
        <v>0.0</v>
      </c>
      <c r="M120" s="31">
        <f>AQ120+MIN(W119+AG120-AQ120,MAX(0,ROUND(ROUND(Долги!$D$19-SUM($AL120:$AU120),2)-(SUM($H120:L120)-SUM($AL120:AP120)),2)))</f>
        <v>0.0</v>
      </c>
      <c r="N120" s="31">
        <f>AR120+MIN(X119+AH120-AR120,MAX(0,ROUND(ROUND(Долги!$D$19-SUM($AL120:$AU120),2)-(SUM($H120:M120)-SUM($AL120:AQ120)),2)))</f>
        <v>0.0</v>
      </c>
      <c r="O120" s="31">
        <f>AS120+MIN(Y119+AI120-AS120,MAX(0,ROUND(ROUND(Долги!$D$19-SUM($AL120:$AU120),2)-(SUM($H120:N120)-SUM($AL120:AR120)),2)))</f>
        <v>0.0</v>
      </c>
      <c r="P120" s="31">
        <f>AT120+MIN(Z119+AJ120-AT120,MAX(0,ROUND(ROUND(Долги!$D$19-SUM($AL120:$AU120),2)-(SUM($H120:O120)-SUM($AL120:AS120)),2)))</f>
        <v>0.0</v>
      </c>
      <c r="Q120" s="31">
        <f>AU120+MIN(AA119+AK120-AU120,MAX(0,ROUND(ROUND(Долги!$D$19-SUM($AL120:$AU120),2)-(SUM($H120:P120)-SUM($AL120:AT120)),2)))</f>
        <v>0.0</v>
      </c>
      <c r="R120" s="31">
        <f>IF(R119+AB120-H120&lt;=0.01,0,ROUND(R119+AB120-H120,2))</f>
        <v>0.0</v>
      </c>
      <c r="S120" s="31">
        <f>IF(S119+AC120-I120&lt;=0.01,0,ROUND(S119+AC120-I120,2))</f>
        <v>0.0</v>
      </c>
      <c r="T120" s="31">
        <f>IF(T119+AD120-J120&lt;=0.01,0,ROUND(T119+AD120-J120,2))</f>
        <v>0.0</v>
      </c>
      <c r="U120" s="31">
        <f>IF(U119+AE120-K120&lt;=0.01,0,ROUND(U119+AE120-K120,2))</f>
        <v>0.0</v>
      </c>
      <c r="V120" s="31">
        <f>IF(V119+AF120-L120&lt;=0.01,0,ROUND(V119+AF120-L120,2))</f>
        <v>0.0</v>
      </c>
      <c r="W120" s="31">
        <f>IF(W119+AG120-M120&lt;=0.01,0,ROUND(W119+AG120-M120,2))</f>
        <v>0.0</v>
      </c>
      <c r="X120" s="31">
        <f>IF(X119+AH120-N120&lt;=0.01,0,ROUND(X119+AH120-N120,2))</f>
        <v>0.0</v>
      </c>
      <c r="Y120" s="31">
        <f>IF(Y119+AI120-O120&lt;=0.01,0,ROUND(Y119+AI120-O120,2))</f>
        <v>0.0</v>
      </c>
      <c r="Z120" s="31">
        <f>IF(Z119+AJ120-P120&lt;=0.01,0,ROUND(Z119+AJ120-P120,2))</f>
        <v>0.0</v>
      </c>
      <c r="AA120" s="31">
        <f>IF(AA119+AK120-Q120&lt;=0.01,0,ROUND(AA119+AK120-Q120,2))</f>
        <v>0.0</v>
      </c>
      <c r="AB120" s="31">
        <f>ROUND(R119*AB$5/1200,2)</f>
        <v>0.0</v>
      </c>
      <c r="AC120" s="31">
        <f>ROUND(S119*AC$5/1200,2)</f>
        <v>0.0</v>
      </c>
      <c r="AD120" s="31">
        <f>ROUND(T119*AD$5/1200,2)</f>
        <v>0.0</v>
      </c>
      <c r="AE120" s="31">
        <f>ROUND(U119*AE$5/1200,2)</f>
        <v>0.0</v>
      </c>
      <c r="AF120" s="31">
        <f>ROUND(V119*AF$5/1200,2)</f>
        <v>0.0</v>
      </c>
      <c r="AG120" s="31">
        <f>ROUND(W119*AG$5/1200,2)</f>
        <v>0.0</v>
      </c>
      <c r="AH120" s="31">
        <f>ROUND(X119*AH$5/1200,2)</f>
        <v>0.0</v>
      </c>
      <c r="AI120" s="31">
        <f>ROUND(Y119*AI$5/1200,2)</f>
        <v>0.0</v>
      </c>
      <c r="AJ120" s="31">
        <f>ROUND(Z119*AJ$5/1200,2)</f>
        <v>0.0</v>
      </c>
      <c r="AK120" s="31">
        <f>ROUND(AA119*AK$5/1200,2)</f>
        <v>0.0</v>
      </c>
      <c r="AL120" s="31">
        <f>MIN(AL$5,R119+AB120)</f>
        <v>0.0</v>
      </c>
      <c r="AM120" s="31">
        <f>MIN(AM$5,S119+AC120)</f>
        <v>0.0</v>
      </c>
      <c r="AN120" s="31">
        <f>MIN(AN$5,T119+AD120)</f>
        <v>0.0</v>
      </c>
      <c r="AO120" s="31">
        <f>MIN(AO$5,U119+AE120)</f>
        <v>0.0</v>
      </c>
      <c r="AP120" s="31">
        <f>MIN(AP$5,V119+AF120)</f>
        <v>0.0</v>
      </c>
      <c r="AQ120" s="31">
        <f>MIN(AQ$5,W119+AG120)</f>
        <v>0.0</v>
      </c>
      <c r="AR120" s="31">
        <f>MIN(AR$5,X119+AH120)</f>
        <v>0.0</v>
      </c>
      <c r="AS120" s="31">
        <f>MIN(AS$5,Y119+AI120)</f>
        <v>0.0</v>
      </c>
      <c r="AT120" s="31">
        <f>MIN(AT$5,Z119+AJ120)</f>
        <v>0.0</v>
      </c>
      <c r="AU120" s="31">
        <f>MIN(AU$5,AA119+AK120)</f>
        <v>0.0</v>
      </c>
    </row>
    <row r="121">
      <c r="A121" s="25" t="str">
        <f>IF(F120&gt;0.005,116,"")</f>
        <v/>
      </c>
      <c r="B121" s="33" t="str">
        <f>IF(A121="","",EDATE(Долги!$D$5,115))</f>
        <v/>
      </c>
      <c r="C121" s="31">
        <f>SUM(H121:Q121)</f>
        <v>0.0</v>
      </c>
      <c r="D121" s="31">
        <f>SUM(AB121:AK121)</f>
        <v>0.0</v>
      </c>
      <c r="E121" s="31">
        <f>C121-D121</f>
        <v>0.0</v>
      </c>
      <c r="F121" s="31">
        <f>SUM(R121:AA121)</f>
        <v>0.0</v>
      </c>
      <c r="G121" s="34" t="str">
        <f>IF(OR(A121="",$F$5&lt;=0),"",REPT("█",ROUND(20*F121/$F$5,0)))</f>
        <v/>
      </c>
      <c r="H121" s="31">
        <f>AL121+MIN(R120+AB121-AL121,MAX(0,ROUND(Долги!$D$19-SUM($AL121:$AU121),2)))</f>
        <v>0.0</v>
      </c>
      <c r="I121" s="31">
        <f>AM121+MIN(S120+AC121-AM121,MAX(0,ROUND(ROUND(Долги!$D$19-SUM($AL121:$AU121),2)-(SUM($H121:H121)-SUM($AL121:AL121)),2)))</f>
        <v>0.0</v>
      </c>
      <c r="J121" s="31">
        <f>AN121+MIN(T120+AD121-AN121,MAX(0,ROUND(ROUND(Долги!$D$19-SUM($AL121:$AU121),2)-(SUM($H121:I121)-SUM($AL121:AM121)),2)))</f>
        <v>0.0</v>
      </c>
      <c r="K121" s="31">
        <f>AO121+MIN(U120+AE121-AO121,MAX(0,ROUND(ROUND(Долги!$D$19-SUM($AL121:$AU121),2)-(SUM($H121:J121)-SUM($AL121:AN121)),2)))</f>
        <v>0.0</v>
      </c>
      <c r="L121" s="31">
        <f>AP121+MIN(V120+AF121-AP121,MAX(0,ROUND(ROUND(Долги!$D$19-SUM($AL121:$AU121),2)-(SUM($H121:K121)-SUM($AL121:AO121)),2)))</f>
        <v>0.0</v>
      </c>
      <c r="M121" s="31">
        <f>AQ121+MIN(W120+AG121-AQ121,MAX(0,ROUND(ROUND(Долги!$D$19-SUM($AL121:$AU121),2)-(SUM($H121:L121)-SUM($AL121:AP121)),2)))</f>
        <v>0.0</v>
      </c>
      <c r="N121" s="31">
        <f>AR121+MIN(X120+AH121-AR121,MAX(0,ROUND(ROUND(Долги!$D$19-SUM($AL121:$AU121),2)-(SUM($H121:M121)-SUM($AL121:AQ121)),2)))</f>
        <v>0.0</v>
      </c>
      <c r="O121" s="31">
        <f>AS121+MIN(Y120+AI121-AS121,MAX(0,ROUND(ROUND(Долги!$D$19-SUM($AL121:$AU121),2)-(SUM($H121:N121)-SUM($AL121:AR121)),2)))</f>
        <v>0.0</v>
      </c>
      <c r="P121" s="31">
        <f>AT121+MIN(Z120+AJ121-AT121,MAX(0,ROUND(ROUND(Долги!$D$19-SUM($AL121:$AU121),2)-(SUM($H121:O121)-SUM($AL121:AS121)),2)))</f>
        <v>0.0</v>
      </c>
      <c r="Q121" s="31">
        <f>AU121+MIN(AA120+AK121-AU121,MAX(0,ROUND(ROUND(Долги!$D$19-SUM($AL121:$AU121),2)-(SUM($H121:P121)-SUM($AL121:AT121)),2)))</f>
        <v>0.0</v>
      </c>
      <c r="R121" s="31">
        <f>IF(R120+AB121-H121&lt;=0.01,0,ROUND(R120+AB121-H121,2))</f>
        <v>0.0</v>
      </c>
      <c r="S121" s="31">
        <f>IF(S120+AC121-I121&lt;=0.01,0,ROUND(S120+AC121-I121,2))</f>
        <v>0.0</v>
      </c>
      <c r="T121" s="31">
        <f>IF(T120+AD121-J121&lt;=0.01,0,ROUND(T120+AD121-J121,2))</f>
        <v>0.0</v>
      </c>
      <c r="U121" s="31">
        <f>IF(U120+AE121-K121&lt;=0.01,0,ROUND(U120+AE121-K121,2))</f>
        <v>0.0</v>
      </c>
      <c r="V121" s="31">
        <f>IF(V120+AF121-L121&lt;=0.01,0,ROUND(V120+AF121-L121,2))</f>
        <v>0.0</v>
      </c>
      <c r="W121" s="31">
        <f>IF(W120+AG121-M121&lt;=0.01,0,ROUND(W120+AG121-M121,2))</f>
        <v>0.0</v>
      </c>
      <c r="X121" s="31">
        <f>IF(X120+AH121-N121&lt;=0.01,0,ROUND(X120+AH121-N121,2))</f>
        <v>0.0</v>
      </c>
      <c r="Y121" s="31">
        <f>IF(Y120+AI121-O121&lt;=0.01,0,ROUND(Y120+AI121-O121,2))</f>
        <v>0.0</v>
      </c>
      <c r="Z121" s="31">
        <f>IF(Z120+AJ121-P121&lt;=0.01,0,ROUND(Z120+AJ121-P121,2))</f>
        <v>0.0</v>
      </c>
      <c r="AA121" s="31">
        <f>IF(AA120+AK121-Q121&lt;=0.01,0,ROUND(AA120+AK121-Q121,2))</f>
        <v>0.0</v>
      </c>
      <c r="AB121" s="31">
        <f>ROUND(R120*AB$5/1200,2)</f>
        <v>0.0</v>
      </c>
      <c r="AC121" s="31">
        <f>ROUND(S120*AC$5/1200,2)</f>
        <v>0.0</v>
      </c>
      <c r="AD121" s="31">
        <f>ROUND(T120*AD$5/1200,2)</f>
        <v>0.0</v>
      </c>
      <c r="AE121" s="31">
        <f>ROUND(U120*AE$5/1200,2)</f>
        <v>0.0</v>
      </c>
      <c r="AF121" s="31">
        <f>ROUND(V120*AF$5/1200,2)</f>
        <v>0.0</v>
      </c>
      <c r="AG121" s="31">
        <f>ROUND(W120*AG$5/1200,2)</f>
        <v>0.0</v>
      </c>
      <c r="AH121" s="31">
        <f>ROUND(X120*AH$5/1200,2)</f>
        <v>0.0</v>
      </c>
      <c r="AI121" s="31">
        <f>ROUND(Y120*AI$5/1200,2)</f>
        <v>0.0</v>
      </c>
      <c r="AJ121" s="31">
        <f>ROUND(Z120*AJ$5/1200,2)</f>
        <v>0.0</v>
      </c>
      <c r="AK121" s="31">
        <f>ROUND(AA120*AK$5/1200,2)</f>
        <v>0.0</v>
      </c>
      <c r="AL121" s="31">
        <f>MIN(AL$5,R120+AB121)</f>
        <v>0.0</v>
      </c>
      <c r="AM121" s="31">
        <f>MIN(AM$5,S120+AC121)</f>
        <v>0.0</v>
      </c>
      <c r="AN121" s="31">
        <f>MIN(AN$5,T120+AD121)</f>
        <v>0.0</v>
      </c>
      <c r="AO121" s="31">
        <f>MIN(AO$5,U120+AE121)</f>
        <v>0.0</v>
      </c>
      <c r="AP121" s="31">
        <f>MIN(AP$5,V120+AF121)</f>
        <v>0.0</v>
      </c>
      <c r="AQ121" s="31">
        <f>MIN(AQ$5,W120+AG121)</f>
        <v>0.0</v>
      </c>
      <c r="AR121" s="31">
        <f>MIN(AR$5,X120+AH121)</f>
        <v>0.0</v>
      </c>
      <c r="AS121" s="31">
        <f>MIN(AS$5,Y120+AI121)</f>
        <v>0.0</v>
      </c>
      <c r="AT121" s="31">
        <f>MIN(AT$5,Z120+AJ121)</f>
        <v>0.0</v>
      </c>
      <c r="AU121" s="31">
        <f>MIN(AU$5,AA120+AK121)</f>
        <v>0.0</v>
      </c>
    </row>
    <row r="122">
      <c r="A122" s="25" t="str">
        <f>IF(F121&gt;0.005,117,"")</f>
        <v/>
      </c>
      <c r="B122" s="33" t="str">
        <f>IF(A122="","",EDATE(Долги!$D$5,116))</f>
        <v/>
      </c>
      <c r="C122" s="31">
        <f>SUM(H122:Q122)</f>
        <v>0.0</v>
      </c>
      <c r="D122" s="31">
        <f>SUM(AB122:AK122)</f>
        <v>0.0</v>
      </c>
      <c r="E122" s="31">
        <f>C122-D122</f>
        <v>0.0</v>
      </c>
      <c r="F122" s="31">
        <f>SUM(R122:AA122)</f>
        <v>0.0</v>
      </c>
      <c r="G122" s="34" t="str">
        <f>IF(OR(A122="",$F$5&lt;=0),"",REPT("█",ROUND(20*F122/$F$5,0)))</f>
        <v/>
      </c>
      <c r="H122" s="31">
        <f>AL122+MIN(R121+AB122-AL122,MAX(0,ROUND(Долги!$D$19-SUM($AL122:$AU122),2)))</f>
        <v>0.0</v>
      </c>
      <c r="I122" s="31">
        <f>AM122+MIN(S121+AC122-AM122,MAX(0,ROUND(ROUND(Долги!$D$19-SUM($AL122:$AU122),2)-(SUM($H122:H122)-SUM($AL122:AL122)),2)))</f>
        <v>0.0</v>
      </c>
      <c r="J122" s="31">
        <f>AN122+MIN(T121+AD122-AN122,MAX(0,ROUND(ROUND(Долги!$D$19-SUM($AL122:$AU122),2)-(SUM($H122:I122)-SUM($AL122:AM122)),2)))</f>
        <v>0.0</v>
      </c>
      <c r="K122" s="31">
        <f>AO122+MIN(U121+AE122-AO122,MAX(0,ROUND(ROUND(Долги!$D$19-SUM($AL122:$AU122),2)-(SUM($H122:J122)-SUM($AL122:AN122)),2)))</f>
        <v>0.0</v>
      </c>
      <c r="L122" s="31">
        <f>AP122+MIN(V121+AF122-AP122,MAX(0,ROUND(ROUND(Долги!$D$19-SUM($AL122:$AU122),2)-(SUM($H122:K122)-SUM($AL122:AO122)),2)))</f>
        <v>0.0</v>
      </c>
      <c r="M122" s="31">
        <f>AQ122+MIN(W121+AG122-AQ122,MAX(0,ROUND(ROUND(Долги!$D$19-SUM($AL122:$AU122),2)-(SUM($H122:L122)-SUM($AL122:AP122)),2)))</f>
        <v>0.0</v>
      </c>
      <c r="N122" s="31">
        <f>AR122+MIN(X121+AH122-AR122,MAX(0,ROUND(ROUND(Долги!$D$19-SUM($AL122:$AU122),2)-(SUM($H122:M122)-SUM($AL122:AQ122)),2)))</f>
        <v>0.0</v>
      </c>
      <c r="O122" s="31">
        <f>AS122+MIN(Y121+AI122-AS122,MAX(0,ROUND(ROUND(Долги!$D$19-SUM($AL122:$AU122),2)-(SUM($H122:N122)-SUM($AL122:AR122)),2)))</f>
        <v>0.0</v>
      </c>
      <c r="P122" s="31">
        <f>AT122+MIN(Z121+AJ122-AT122,MAX(0,ROUND(ROUND(Долги!$D$19-SUM($AL122:$AU122),2)-(SUM($H122:O122)-SUM($AL122:AS122)),2)))</f>
        <v>0.0</v>
      </c>
      <c r="Q122" s="31">
        <f>AU122+MIN(AA121+AK122-AU122,MAX(0,ROUND(ROUND(Долги!$D$19-SUM($AL122:$AU122),2)-(SUM($H122:P122)-SUM($AL122:AT122)),2)))</f>
        <v>0.0</v>
      </c>
      <c r="R122" s="31">
        <f>IF(R121+AB122-H122&lt;=0.01,0,ROUND(R121+AB122-H122,2))</f>
        <v>0.0</v>
      </c>
      <c r="S122" s="31">
        <f>IF(S121+AC122-I122&lt;=0.01,0,ROUND(S121+AC122-I122,2))</f>
        <v>0.0</v>
      </c>
      <c r="T122" s="31">
        <f>IF(T121+AD122-J122&lt;=0.01,0,ROUND(T121+AD122-J122,2))</f>
        <v>0.0</v>
      </c>
      <c r="U122" s="31">
        <f>IF(U121+AE122-K122&lt;=0.01,0,ROUND(U121+AE122-K122,2))</f>
        <v>0.0</v>
      </c>
      <c r="V122" s="31">
        <f>IF(V121+AF122-L122&lt;=0.01,0,ROUND(V121+AF122-L122,2))</f>
        <v>0.0</v>
      </c>
      <c r="W122" s="31">
        <f>IF(W121+AG122-M122&lt;=0.01,0,ROUND(W121+AG122-M122,2))</f>
        <v>0.0</v>
      </c>
      <c r="X122" s="31">
        <f>IF(X121+AH122-N122&lt;=0.01,0,ROUND(X121+AH122-N122,2))</f>
        <v>0.0</v>
      </c>
      <c r="Y122" s="31">
        <f>IF(Y121+AI122-O122&lt;=0.01,0,ROUND(Y121+AI122-O122,2))</f>
        <v>0.0</v>
      </c>
      <c r="Z122" s="31">
        <f>IF(Z121+AJ122-P122&lt;=0.01,0,ROUND(Z121+AJ122-P122,2))</f>
        <v>0.0</v>
      </c>
      <c r="AA122" s="31">
        <f>IF(AA121+AK122-Q122&lt;=0.01,0,ROUND(AA121+AK122-Q122,2))</f>
        <v>0.0</v>
      </c>
      <c r="AB122" s="31">
        <f>ROUND(R121*AB$5/1200,2)</f>
        <v>0.0</v>
      </c>
      <c r="AC122" s="31">
        <f>ROUND(S121*AC$5/1200,2)</f>
        <v>0.0</v>
      </c>
      <c r="AD122" s="31">
        <f>ROUND(T121*AD$5/1200,2)</f>
        <v>0.0</v>
      </c>
      <c r="AE122" s="31">
        <f>ROUND(U121*AE$5/1200,2)</f>
        <v>0.0</v>
      </c>
      <c r="AF122" s="31">
        <f>ROUND(V121*AF$5/1200,2)</f>
        <v>0.0</v>
      </c>
      <c r="AG122" s="31">
        <f>ROUND(W121*AG$5/1200,2)</f>
        <v>0.0</v>
      </c>
      <c r="AH122" s="31">
        <f>ROUND(X121*AH$5/1200,2)</f>
        <v>0.0</v>
      </c>
      <c r="AI122" s="31">
        <f>ROUND(Y121*AI$5/1200,2)</f>
        <v>0.0</v>
      </c>
      <c r="AJ122" s="31">
        <f>ROUND(Z121*AJ$5/1200,2)</f>
        <v>0.0</v>
      </c>
      <c r="AK122" s="31">
        <f>ROUND(AA121*AK$5/1200,2)</f>
        <v>0.0</v>
      </c>
      <c r="AL122" s="31">
        <f>MIN(AL$5,R121+AB122)</f>
        <v>0.0</v>
      </c>
      <c r="AM122" s="31">
        <f>MIN(AM$5,S121+AC122)</f>
        <v>0.0</v>
      </c>
      <c r="AN122" s="31">
        <f>MIN(AN$5,T121+AD122)</f>
        <v>0.0</v>
      </c>
      <c r="AO122" s="31">
        <f>MIN(AO$5,U121+AE122)</f>
        <v>0.0</v>
      </c>
      <c r="AP122" s="31">
        <f>MIN(AP$5,V121+AF122)</f>
        <v>0.0</v>
      </c>
      <c r="AQ122" s="31">
        <f>MIN(AQ$5,W121+AG122)</f>
        <v>0.0</v>
      </c>
      <c r="AR122" s="31">
        <f>MIN(AR$5,X121+AH122)</f>
        <v>0.0</v>
      </c>
      <c r="AS122" s="31">
        <f>MIN(AS$5,Y121+AI122)</f>
        <v>0.0</v>
      </c>
      <c r="AT122" s="31">
        <f>MIN(AT$5,Z121+AJ122)</f>
        <v>0.0</v>
      </c>
      <c r="AU122" s="31">
        <f>MIN(AU$5,AA121+AK122)</f>
        <v>0.0</v>
      </c>
    </row>
    <row r="123">
      <c r="A123" s="25" t="str">
        <f>IF(F122&gt;0.005,118,"")</f>
        <v/>
      </c>
      <c r="B123" s="33" t="str">
        <f>IF(A123="","",EDATE(Долги!$D$5,117))</f>
        <v/>
      </c>
      <c r="C123" s="31">
        <f>SUM(H123:Q123)</f>
        <v>0.0</v>
      </c>
      <c r="D123" s="31">
        <f>SUM(AB123:AK123)</f>
        <v>0.0</v>
      </c>
      <c r="E123" s="31">
        <f>C123-D123</f>
        <v>0.0</v>
      </c>
      <c r="F123" s="31">
        <f>SUM(R123:AA123)</f>
        <v>0.0</v>
      </c>
      <c r="G123" s="34" t="str">
        <f>IF(OR(A123="",$F$5&lt;=0),"",REPT("█",ROUND(20*F123/$F$5,0)))</f>
        <v/>
      </c>
      <c r="H123" s="31">
        <f>AL123+MIN(R122+AB123-AL123,MAX(0,ROUND(Долги!$D$19-SUM($AL123:$AU123),2)))</f>
        <v>0.0</v>
      </c>
      <c r="I123" s="31">
        <f>AM123+MIN(S122+AC123-AM123,MAX(0,ROUND(ROUND(Долги!$D$19-SUM($AL123:$AU123),2)-(SUM($H123:H123)-SUM($AL123:AL123)),2)))</f>
        <v>0.0</v>
      </c>
      <c r="J123" s="31">
        <f>AN123+MIN(T122+AD123-AN123,MAX(0,ROUND(ROUND(Долги!$D$19-SUM($AL123:$AU123),2)-(SUM($H123:I123)-SUM($AL123:AM123)),2)))</f>
        <v>0.0</v>
      </c>
      <c r="K123" s="31">
        <f>AO123+MIN(U122+AE123-AO123,MAX(0,ROUND(ROUND(Долги!$D$19-SUM($AL123:$AU123),2)-(SUM($H123:J123)-SUM($AL123:AN123)),2)))</f>
        <v>0.0</v>
      </c>
      <c r="L123" s="31">
        <f>AP123+MIN(V122+AF123-AP123,MAX(0,ROUND(ROUND(Долги!$D$19-SUM($AL123:$AU123),2)-(SUM($H123:K123)-SUM($AL123:AO123)),2)))</f>
        <v>0.0</v>
      </c>
      <c r="M123" s="31">
        <f>AQ123+MIN(W122+AG123-AQ123,MAX(0,ROUND(ROUND(Долги!$D$19-SUM($AL123:$AU123),2)-(SUM($H123:L123)-SUM($AL123:AP123)),2)))</f>
        <v>0.0</v>
      </c>
      <c r="N123" s="31">
        <f>AR123+MIN(X122+AH123-AR123,MAX(0,ROUND(ROUND(Долги!$D$19-SUM($AL123:$AU123),2)-(SUM($H123:M123)-SUM($AL123:AQ123)),2)))</f>
        <v>0.0</v>
      </c>
      <c r="O123" s="31">
        <f>AS123+MIN(Y122+AI123-AS123,MAX(0,ROUND(ROUND(Долги!$D$19-SUM($AL123:$AU123),2)-(SUM($H123:N123)-SUM($AL123:AR123)),2)))</f>
        <v>0.0</v>
      </c>
      <c r="P123" s="31">
        <f>AT123+MIN(Z122+AJ123-AT123,MAX(0,ROUND(ROUND(Долги!$D$19-SUM($AL123:$AU123),2)-(SUM($H123:O123)-SUM($AL123:AS123)),2)))</f>
        <v>0.0</v>
      </c>
      <c r="Q123" s="31">
        <f>AU123+MIN(AA122+AK123-AU123,MAX(0,ROUND(ROUND(Долги!$D$19-SUM($AL123:$AU123),2)-(SUM($H123:P123)-SUM($AL123:AT123)),2)))</f>
        <v>0.0</v>
      </c>
      <c r="R123" s="31">
        <f>IF(R122+AB123-H123&lt;=0.01,0,ROUND(R122+AB123-H123,2))</f>
        <v>0.0</v>
      </c>
      <c r="S123" s="31">
        <f>IF(S122+AC123-I123&lt;=0.01,0,ROUND(S122+AC123-I123,2))</f>
        <v>0.0</v>
      </c>
      <c r="T123" s="31">
        <f>IF(T122+AD123-J123&lt;=0.01,0,ROUND(T122+AD123-J123,2))</f>
        <v>0.0</v>
      </c>
      <c r="U123" s="31">
        <f>IF(U122+AE123-K123&lt;=0.01,0,ROUND(U122+AE123-K123,2))</f>
        <v>0.0</v>
      </c>
      <c r="V123" s="31">
        <f>IF(V122+AF123-L123&lt;=0.01,0,ROUND(V122+AF123-L123,2))</f>
        <v>0.0</v>
      </c>
      <c r="W123" s="31">
        <f>IF(W122+AG123-M123&lt;=0.01,0,ROUND(W122+AG123-M123,2))</f>
        <v>0.0</v>
      </c>
      <c r="X123" s="31">
        <f>IF(X122+AH123-N123&lt;=0.01,0,ROUND(X122+AH123-N123,2))</f>
        <v>0.0</v>
      </c>
      <c r="Y123" s="31">
        <f>IF(Y122+AI123-O123&lt;=0.01,0,ROUND(Y122+AI123-O123,2))</f>
        <v>0.0</v>
      </c>
      <c r="Z123" s="31">
        <f>IF(Z122+AJ123-P123&lt;=0.01,0,ROUND(Z122+AJ123-P123,2))</f>
        <v>0.0</v>
      </c>
      <c r="AA123" s="31">
        <f>IF(AA122+AK123-Q123&lt;=0.01,0,ROUND(AA122+AK123-Q123,2))</f>
        <v>0.0</v>
      </c>
      <c r="AB123" s="31">
        <f>ROUND(R122*AB$5/1200,2)</f>
        <v>0.0</v>
      </c>
      <c r="AC123" s="31">
        <f>ROUND(S122*AC$5/1200,2)</f>
        <v>0.0</v>
      </c>
      <c r="AD123" s="31">
        <f>ROUND(T122*AD$5/1200,2)</f>
        <v>0.0</v>
      </c>
      <c r="AE123" s="31">
        <f>ROUND(U122*AE$5/1200,2)</f>
        <v>0.0</v>
      </c>
      <c r="AF123" s="31">
        <f>ROUND(V122*AF$5/1200,2)</f>
        <v>0.0</v>
      </c>
      <c r="AG123" s="31">
        <f>ROUND(W122*AG$5/1200,2)</f>
        <v>0.0</v>
      </c>
      <c r="AH123" s="31">
        <f>ROUND(X122*AH$5/1200,2)</f>
        <v>0.0</v>
      </c>
      <c r="AI123" s="31">
        <f>ROUND(Y122*AI$5/1200,2)</f>
        <v>0.0</v>
      </c>
      <c r="AJ123" s="31">
        <f>ROUND(Z122*AJ$5/1200,2)</f>
        <v>0.0</v>
      </c>
      <c r="AK123" s="31">
        <f>ROUND(AA122*AK$5/1200,2)</f>
        <v>0.0</v>
      </c>
      <c r="AL123" s="31">
        <f>MIN(AL$5,R122+AB123)</f>
        <v>0.0</v>
      </c>
      <c r="AM123" s="31">
        <f>MIN(AM$5,S122+AC123)</f>
        <v>0.0</v>
      </c>
      <c r="AN123" s="31">
        <f>MIN(AN$5,T122+AD123)</f>
        <v>0.0</v>
      </c>
      <c r="AO123" s="31">
        <f>MIN(AO$5,U122+AE123)</f>
        <v>0.0</v>
      </c>
      <c r="AP123" s="31">
        <f>MIN(AP$5,V122+AF123)</f>
        <v>0.0</v>
      </c>
      <c r="AQ123" s="31">
        <f>MIN(AQ$5,W122+AG123)</f>
        <v>0.0</v>
      </c>
      <c r="AR123" s="31">
        <f>MIN(AR$5,X122+AH123)</f>
        <v>0.0</v>
      </c>
      <c r="AS123" s="31">
        <f>MIN(AS$5,Y122+AI123)</f>
        <v>0.0</v>
      </c>
      <c r="AT123" s="31">
        <f>MIN(AT$5,Z122+AJ123)</f>
        <v>0.0</v>
      </c>
      <c r="AU123" s="31">
        <f>MIN(AU$5,AA122+AK123)</f>
        <v>0.0</v>
      </c>
    </row>
    <row r="124">
      <c r="A124" s="25" t="str">
        <f>IF(F123&gt;0.005,119,"")</f>
        <v/>
      </c>
      <c r="B124" s="33" t="str">
        <f>IF(A124="","",EDATE(Долги!$D$5,118))</f>
        <v/>
      </c>
      <c r="C124" s="31">
        <f>SUM(H124:Q124)</f>
        <v>0.0</v>
      </c>
      <c r="D124" s="31">
        <f>SUM(AB124:AK124)</f>
        <v>0.0</v>
      </c>
      <c r="E124" s="31">
        <f>C124-D124</f>
        <v>0.0</v>
      </c>
      <c r="F124" s="31">
        <f>SUM(R124:AA124)</f>
        <v>0.0</v>
      </c>
      <c r="G124" s="34" t="str">
        <f>IF(OR(A124="",$F$5&lt;=0),"",REPT("█",ROUND(20*F124/$F$5,0)))</f>
        <v/>
      </c>
      <c r="H124" s="31">
        <f>AL124+MIN(R123+AB124-AL124,MAX(0,ROUND(Долги!$D$19-SUM($AL124:$AU124),2)))</f>
        <v>0.0</v>
      </c>
      <c r="I124" s="31">
        <f>AM124+MIN(S123+AC124-AM124,MAX(0,ROUND(ROUND(Долги!$D$19-SUM($AL124:$AU124),2)-(SUM($H124:H124)-SUM($AL124:AL124)),2)))</f>
        <v>0.0</v>
      </c>
      <c r="J124" s="31">
        <f>AN124+MIN(T123+AD124-AN124,MAX(0,ROUND(ROUND(Долги!$D$19-SUM($AL124:$AU124),2)-(SUM($H124:I124)-SUM($AL124:AM124)),2)))</f>
        <v>0.0</v>
      </c>
      <c r="K124" s="31">
        <f>AO124+MIN(U123+AE124-AO124,MAX(0,ROUND(ROUND(Долги!$D$19-SUM($AL124:$AU124),2)-(SUM($H124:J124)-SUM($AL124:AN124)),2)))</f>
        <v>0.0</v>
      </c>
      <c r="L124" s="31">
        <f>AP124+MIN(V123+AF124-AP124,MAX(0,ROUND(ROUND(Долги!$D$19-SUM($AL124:$AU124),2)-(SUM($H124:K124)-SUM($AL124:AO124)),2)))</f>
        <v>0.0</v>
      </c>
      <c r="M124" s="31">
        <f>AQ124+MIN(W123+AG124-AQ124,MAX(0,ROUND(ROUND(Долги!$D$19-SUM($AL124:$AU124),2)-(SUM($H124:L124)-SUM($AL124:AP124)),2)))</f>
        <v>0.0</v>
      </c>
      <c r="N124" s="31">
        <f>AR124+MIN(X123+AH124-AR124,MAX(0,ROUND(ROUND(Долги!$D$19-SUM($AL124:$AU124),2)-(SUM($H124:M124)-SUM($AL124:AQ124)),2)))</f>
        <v>0.0</v>
      </c>
      <c r="O124" s="31">
        <f>AS124+MIN(Y123+AI124-AS124,MAX(0,ROUND(ROUND(Долги!$D$19-SUM($AL124:$AU124),2)-(SUM($H124:N124)-SUM($AL124:AR124)),2)))</f>
        <v>0.0</v>
      </c>
      <c r="P124" s="31">
        <f>AT124+MIN(Z123+AJ124-AT124,MAX(0,ROUND(ROUND(Долги!$D$19-SUM($AL124:$AU124),2)-(SUM($H124:O124)-SUM($AL124:AS124)),2)))</f>
        <v>0.0</v>
      </c>
      <c r="Q124" s="31">
        <f>AU124+MIN(AA123+AK124-AU124,MAX(0,ROUND(ROUND(Долги!$D$19-SUM($AL124:$AU124),2)-(SUM($H124:P124)-SUM($AL124:AT124)),2)))</f>
        <v>0.0</v>
      </c>
      <c r="R124" s="31">
        <f>IF(R123+AB124-H124&lt;=0.01,0,ROUND(R123+AB124-H124,2))</f>
        <v>0.0</v>
      </c>
      <c r="S124" s="31">
        <f>IF(S123+AC124-I124&lt;=0.01,0,ROUND(S123+AC124-I124,2))</f>
        <v>0.0</v>
      </c>
      <c r="T124" s="31">
        <f>IF(T123+AD124-J124&lt;=0.01,0,ROUND(T123+AD124-J124,2))</f>
        <v>0.0</v>
      </c>
      <c r="U124" s="31">
        <f>IF(U123+AE124-K124&lt;=0.01,0,ROUND(U123+AE124-K124,2))</f>
        <v>0.0</v>
      </c>
      <c r="V124" s="31">
        <f>IF(V123+AF124-L124&lt;=0.01,0,ROUND(V123+AF124-L124,2))</f>
        <v>0.0</v>
      </c>
      <c r="W124" s="31">
        <f>IF(W123+AG124-M124&lt;=0.01,0,ROUND(W123+AG124-M124,2))</f>
        <v>0.0</v>
      </c>
      <c r="X124" s="31">
        <f>IF(X123+AH124-N124&lt;=0.01,0,ROUND(X123+AH124-N124,2))</f>
        <v>0.0</v>
      </c>
      <c r="Y124" s="31">
        <f>IF(Y123+AI124-O124&lt;=0.01,0,ROUND(Y123+AI124-O124,2))</f>
        <v>0.0</v>
      </c>
      <c r="Z124" s="31">
        <f>IF(Z123+AJ124-P124&lt;=0.01,0,ROUND(Z123+AJ124-P124,2))</f>
        <v>0.0</v>
      </c>
      <c r="AA124" s="31">
        <f>IF(AA123+AK124-Q124&lt;=0.01,0,ROUND(AA123+AK124-Q124,2))</f>
        <v>0.0</v>
      </c>
      <c r="AB124" s="31">
        <f>ROUND(R123*AB$5/1200,2)</f>
        <v>0.0</v>
      </c>
      <c r="AC124" s="31">
        <f>ROUND(S123*AC$5/1200,2)</f>
        <v>0.0</v>
      </c>
      <c r="AD124" s="31">
        <f>ROUND(T123*AD$5/1200,2)</f>
        <v>0.0</v>
      </c>
      <c r="AE124" s="31">
        <f>ROUND(U123*AE$5/1200,2)</f>
        <v>0.0</v>
      </c>
      <c r="AF124" s="31">
        <f>ROUND(V123*AF$5/1200,2)</f>
        <v>0.0</v>
      </c>
      <c r="AG124" s="31">
        <f>ROUND(W123*AG$5/1200,2)</f>
        <v>0.0</v>
      </c>
      <c r="AH124" s="31">
        <f>ROUND(X123*AH$5/1200,2)</f>
        <v>0.0</v>
      </c>
      <c r="AI124" s="31">
        <f>ROUND(Y123*AI$5/1200,2)</f>
        <v>0.0</v>
      </c>
      <c r="AJ124" s="31">
        <f>ROUND(Z123*AJ$5/1200,2)</f>
        <v>0.0</v>
      </c>
      <c r="AK124" s="31">
        <f>ROUND(AA123*AK$5/1200,2)</f>
        <v>0.0</v>
      </c>
      <c r="AL124" s="31">
        <f>MIN(AL$5,R123+AB124)</f>
        <v>0.0</v>
      </c>
      <c r="AM124" s="31">
        <f>MIN(AM$5,S123+AC124)</f>
        <v>0.0</v>
      </c>
      <c r="AN124" s="31">
        <f>MIN(AN$5,T123+AD124)</f>
        <v>0.0</v>
      </c>
      <c r="AO124" s="31">
        <f>MIN(AO$5,U123+AE124)</f>
        <v>0.0</v>
      </c>
      <c r="AP124" s="31">
        <f>MIN(AP$5,V123+AF124)</f>
        <v>0.0</v>
      </c>
      <c r="AQ124" s="31">
        <f>MIN(AQ$5,W123+AG124)</f>
        <v>0.0</v>
      </c>
      <c r="AR124" s="31">
        <f>MIN(AR$5,X123+AH124)</f>
        <v>0.0</v>
      </c>
      <c r="AS124" s="31">
        <f>MIN(AS$5,Y123+AI124)</f>
        <v>0.0</v>
      </c>
      <c r="AT124" s="31">
        <f>MIN(AT$5,Z123+AJ124)</f>
        <v>0.0</v>
      </c>
      <c r="AU124" s="31">
        <f>MIN(AU$5,AA123+AK124)</f>
        <v>0.0</v>
      </c>
    </row>
    <row r="125">
      <c r="A125" s="25" t="str">
        <f>IF(F124&gt;0.005,120,"")</f>
        <v/>
      </c>
      <c r="B125" s="33" t="str">
        <f>IF(A125="","",EDATE(Долги!$D$5,119))</f>
        <v/>
      </c>
      <c r="C125" s="31">
        <f>SUM(H125:Q125)</f>
        <v>0.0</v>
      </c>
      <c r="D125" s="31">
        <f>SUM(AB125:AK125)</f>
        <v>0.0</v>
      </c>
      <c r="E125" s="31">
        <f>C125-D125</f>
        <v>0.0</v>
      </c>
      <c r="F125" s="31">
        <f>SUM(R125:AA125)</f>
        <v>0.0</v>
      </c>
      <c r="G125" s="34" t="str">
        <f>IF(OR(A125="",$F$5&lt;=0),"",REPT("█",ROUND(20*F125/$F$5,0)))</f>
        <v/>
      </c>
      <c r="H125" s="31">
        <f>AL125+MIN(R124+AB125-AL125,MAX(0,ROUND(Долги!$D$19-SUM($AL125:$AU125),2)))</f>
        <v>0.0</v>
      </c>
      <c r="I125" s="31">
        <f>AM125+MIN(S124+AC125-AM125,MAX(0,ROUND(ROUND(Долги!$D$19-SUM($AL125:$AU125),2)-(SUM($H125:H125)-SUM($AL125:AL125)),2)))</f>
        <v>0.0</v>
      </c>
      <c r="J125" s="31">
        <f>AN125+MIN(T124+AD125-AN125,MAX(0,ROUND(ROUND(Долги!$D$19-SUM($AL125:$AU125),2)-(SUM($H125:I125)-SUM($AL125:AM125)),2)))</f>
        <v>0.0</v>
      </c>
      <c r="K125" s="31">
        <f>AO125+MIN(U124+AE125-AO125,MAX(0,ROUND(ROUND(Долги!$D$19-SUM($AL125:$AU125),2)-(SUM($H125:J125)-SUM($AL125:AN125)),2)))</f>
        <v>0.0</v>
      </c>
      <c r="L125" s="31">
        <f>AP125+MIN(V124+AF125-AP125,MAX(0,ROUND(ROUND(Долги!$D$19-SUM($AL125:$AU125),2)-(SUM($H125:K125)-SUM($AL125:AO125)),2)))</f>
        <v>0.0</v>
      </c>
      <c r="M125" s="31">
        <f>AQ125+MIN(W124+AG125-AQ125,MAX(0,ROUND(ROUND(Долги!$D$19-SUM($AL125:$AU125),2)-(SUM($H125:L125)-SUM($AL125:AP125)),2)))</f>
        <v>0.0</v>
      </c>
      <c r="N125" s="31">
        <f>AR125+MIN(X124+AH125-AR125,MAX(0,ROUND(ROUND(Долги!$D$19-SUM($AL125:$AU125),2)-(SUM($H125:M125)-SUM($AL125:AQ125)),2)))</f>
        <v>0.0</v>
      </c>
      <c r="O125" s="31">
        <f>AS125+MIN(Y124+AI125-AS125,MAX(0,ROUND(ROUND(Долги!$D$19-SUM($AL125:$AU125),2)-(SUM($H125:N125)-SUM($AL125:AR125)),2)))</f>
        <v>0.0</v>
      </c>
      <c r="P125" s="31">
        <f>AT125+MIN(Z124+AJ125-AT125,MAX(0,ROUND(ROUND(Долги!$D$19-SUM($AL125:$AU125),2)-(SUM($H125:O125)-SUM($AL125:AS125)),2)))</f>
        <v>0.0</v>
      </c>
      <c r="Q125" s="31">
        <f>AU125+MIN(AA124+AK125-AU125,MAX(0,ROUND(ROUND(Долги!$D$19-SUM($AL125:$AU125),2)-(SUM($H125:P125)-SUM($AL125:AT125)),2)))</f>
        <v>0.0</v>
      </c>
      <c r="R125" s="31">
        <f>IF(R124+AB125-H125&lt;=0.01,0,ROUND(R124+AB125-H125,2))</f>
        <v>0.0</v>
      </c>
      <c r="S125" s="31">
        <f>IF(S124+AC125-I125&lt;=0.01,0,ROUND(S124+AC125-I125,2))</f>
        <v>0.0</v>
      </c>
      <c r="T125" s="31">
        <f>IF(T124+AD125-J125&lt;=0.01,0,ROUND(T124+AD125-J125,2))</f>
        <v>0.0</v>
      </c>
      <c r="U125" s="31">
        <f>IF(U124+AE125-K125&lt;=0.01,0,ROUND(U124+AE125-K125,2))</f>
        <v>0.0</v>
      </c>
      <c r="V125" s="31">
        <f>IF(V124+AF125-L125&lt;=0.01,0,ROUND(V124+AF125-L125,2))</f>
        <v>0.0</v>
      </c>
      <c r="W125" s="31">
        <f>IF(W124+AG125-M125&lt;=0.01,0,ROUND(W124+AG125-M125,2))</f>
        <v>0.0</v>
      </c>
      <c r="X125" s="31">
        <f>IF(X124+AH125-N125&lt;=0.01,0,ROUND(X124+AH125-N125,2))</f>
        <v>0.0</v>
      </c>
      <c r="Y125" s="31">
        <f>IF(Y124+AI125-O125&lt;=0.01,0,ROUND(Y124+AI125-O125,2))</f>
        <v>0.0</v>
      </c>
      <c r="Z125" s="31">
        <f>IF(Z124+AJ125-P125&lt;=0.01,0,ROUND(Z124+AJ125-P125,2))</f>
        <v>0.0</v>
      </c>
      <c r="AA125" s="31">
        <f>IF(AA124+AK125-Q125&lt;=0.01,0,ROUND(AA124+AK125-Q125,2))</f>
        <v>0.0</v>
      </c>
      <c r="AB125" s="31">
        <f>ROUND(R124*AB$5/1200,2)</f>
        <v>0.0</v>
      </c>
      <c r="AC125" s="31">
        <f>ROUND(S124*AC$5/1200,2)</f>
        <v>0.0</v>
      </c>
      <c r="AD125" s="31">
        <f>ROUND(T124*AD$5/1200,2)</f>
        <v>0.0</v>
      </c>
      <c r="AE125" s="31">
        <f>ROUND(U124*AE$5/1200,2)</f>
        <v>0.0</v>
      </c>
      <c r="AF125" s="31">
        <f>ROUND(V124*AF$5/1200,2)</f>
        <v>0.0</v>
      </c>
      <c r="AG125" s="31">
        <f>ROUND(W124*AG$5/1200,2)</f>
        <v>0.0</v>
      </c>
      <c r="AH125" s="31">
        <f>ROUND(X124*AH$5/1200,2)</f>
        <v>0.0</v>
      </c>
      <c r="AI125" s="31">
        <f>ROUND(Y124*AI$5/1200,2)</f>
        <v>0.0</v>
      </c>
      <c r="AJ125" s="31">
        <f>ROUND(Z124*AJ$5/1200,2)</f>
        <v>0.0</v>
      </c>
      <c r="AK125" s="31">
        <f>ROUND(AA124*AK$5/1200,2)</f>
        <v>0.0</v>
      </c>
      <c r="AL125" s="31">
        <f>MIN(AL$5,R124+AB125)</f>
        <v>0.0</v>
      </c>
      <c r="AM125" s="31">
        <f>MIN(AM$5,S124+AC125)</f>
        <v>0.0</v>
      </c>
      <c r="AN125" s="31">
        <f>MIN(AN$5,T124+AD125)</f>
        <v>0.0</v>
      </c>
      <c r="AO125" s="31">
        <f>MIN(AO$5,U124+AE125)</f>
        <v>0.0</v>
      </c>
      <c r="AP125" s="31">
        <f>MIN(AP$5,V124+AF125)</f>
        <v>0.0</v>
      </c>
      <c r="AQ125" s="31">
        <f>MIN(AQ$5,W124+AG125)</f>
        <v>0.0</v>
      </c>
      <c r="AR125" s="31">
        <f>MIN(AR$5,X124+AH125)</f>
        <v>0.0</v>
      </c>
      <c r="AS125" s="31">
        <f>MIN(AS$5,Y124+AI125)</f>
        <v>0.0</v>
      </c>
      <c r="AT125" s="31">
        <f>MIN(AT$5,Z124+AJ125)</f>
        <v>0.0</v>
      </c>
      <c r="AU125" s="31">
        <f>MIN(AU$5,AA124+AK125)</f>
        <v>0.0</v>
      </c>
    </row>
    <row r="126">
      <c r="A126" s="25" t="str">
        <f>IF(F125&gt;0.005,121,"")</f>
        <v/>
      </c>
      <c r="B126" s="33" t="str">
        <f>IF(A126="","",EDATE(Долги!$D$5,120))</f>
        <v/>
      </c>
      <c r="C126" s="31">
        <f>SUM(H126:Q126)</f>
        <v>0.0</v>
      </c>
      <c r="D126" s="31">
        <f>SUM(AB126:AK126)</f>
        <v>0.0</v>
      </c>
      <c r="E126" s="31">
        <f>C126-D126</f>
        <v>0.0</v>
      </c>
      <c r="F126" s="31">
        <f>SUM(R126:AA126)</f>
        <v>0.0</v>
      </c>
      <c r="G126" s="34" t="str">
        <f>IF(OR(A126="",$F$5&lt;=0),"",REPT("█",ROUND(20*F126/$F$5,0)))</f>
        <v/>
      </c>
      <c r="H126" s="31">
        <f>AL126+MIN(R125+AB126-AL126,MAX(0,ROUND(Долги!$D$19-SUM($AL126:$AU126),2)))</f>
        <v>0.0</v>
      </c>
      <c r="I126" s="31">
        <f>AM126+MIN(S125+AC126-AM126,MAX(0,ROUND(ROUND(Долги!$D$19-SUM($AL126:$AU126),2)-(SUM($H126:H126)-SUM($AL126:AL126)),2)))</f>
        <v>0.0</v>
      </c>
      <c r="J126" s="31">
        <f>AN126+MIN(T125+AD126-AN126,MAX(0,ROUND(ROUND(Долги!$D$19-SUM($AL126:$AU126),2)-(SUM($H126:I126)-SUM($AL126:AM126)),2)))</f>
        <v>0.0</v>
      </c>
      <c r="K126" s="31">
        <f>AO126+MIN(U125+AE126-AO126,MAX(0,ROUND(ROUND(Долги!$D$19-SUM($AL126:$AU126),2)-(SUM($H126:J126)-SUM($AL126:AN126)),2)))</f>
        <v>0.0</v>
      </c>
      <c r="L126" s="31">
        <f>AP126+MIN(V125+AF126-AP126,MAX(0,ROUND(ROUND(Долги!$D$19-SUM($AL126:$AU126),2)-(SUM($H126:K126)-SUM($AL126:AO126)),2)))</f>
        <v>0.0</v>
      </c>
      <c r="M126" s="31">
        <f>AQ126+MIN(W125+AG126-AQ126,MAX(0,ROUND(ROUND(Долги!$D$19-SUM($AL126:$AU126),2)-(SUM($H126:L126)-SUM($AL126:AP126)),2)))</f>
        <v>0.0</v>
      </c>
      <c r="N126" s="31">
        <f>AR126+MIN(X125+AH126-AR126,MAX(0,ROUND(ROUND(Долги!$D$19-SUM($AL126:$AU126),2)-(SUM($H126:M126)-SUM($AL126:AQ126)),2)))</f>
        <v>0.0</v>
      </c>
      <c r="O126" s="31">
        <f>AS126+MIN(Y125+AI126-AS126,MAX(0,ROUND(ROUND(Долги!$D$19-SUM($AL126:$AU126),2)-(SUM($H126:N126)-SUM($AL126:AR126)),2)))</f>
        <v>0.0</v>
      </c>
      <c r="P126" s="31">
        <f>AT126+MIN(Z125+AJ126-AT126,MAX(0,ROUND(ROUND(Долги!$D$19-SUM($AL126:$AU126),2)-(SUM($H126:O126)-SUM($AL126:AS126)),2)))</f>
        <v>0.0</v>
      </c>
      <c r="Q126" s="31">
        <f>AU126+MIN(AA125+AK126-AU126,MAX(0,ROUND(ROUND(Долги!$D$19-SUM($AL126:$AU126),2)-(SUM($H126:P126)-SUM($AL126:AT126)),2)))</f>
        <v>0.0</v>
      </c>
      <c r="R126" s="31">
        <f>IF(R125+AB126-H126&lt;=0.01,0,ROUND(R125+AB126-H126,2))</f>
        <v>0.0</v>
      </c>
      <c r="S126" s="31">
        <f>IF(S125+AC126-I126&lt;=0.01,0,ROUND(S125+AC126-I126,2))</f>
        <v>0.0</v>
      </c>
      <c r="T126" s="31">
        <f>IF(T125+AD126-J126&lt;=0.01,0,ROUND(T125+AD126-J126,2))</f>
        <v>0.0</v>
      </c>
      <c r="U126" s="31">
        <f>IF(U125+AE126-K126&lt;=0.01,0,ROUND(U125+AE126-K126,2))</f>
        <v>0.0</v>
      </c>
      <c r="V126" s="31">
        <f>IF(V125+AF126-L126&lt;=0.01,0,ROUND(V125+AF126-L126,2))</f>
        <v>0.0</v>
      </c>
      <c r="W126" s="31">
        <f>IF(W125+AG126-M126&lt;=0.01,0,ROUND(W125+AG126-M126,2))</f>
        <v>0.0</v>
      </c>
      <c r="X126" s="31">
        <f>IF(X125+AH126-N126&lt;=0.01,0,ROUND(X125+AH126-N126,2))</f>
        <v>0.0</v>
      </c>
      <c r="Y126" s="31">
        <f>IF(Y125+AI126-O126&lt;=0.01,0,ROUND(Y125+AI126-O126,2))</f>
        <v>0.0</v>
      </c>
      <c r="Z126" s="31">
        <f>IF(Z125+AJ126-P126&lt;=0.01,0,ROUND(Z125+AJ126-P126,2))</f>
        <v>0.0</v>
      </c>
      <c r="AA126" s="31">
        <f>IF(AA125+AK126-Q126&lt;=0.01,0,ROUND(AA125+AK126-Q126,2))</f>
        <v>0.0</v>
      </c>
      <c r="AB126" s="31">
        <f>ROUND(R125*AB$5/1200,2)</f>
        <v>0.0</v>
      </c>
      <c r="AC126" s="31">
        <f>ROUND(S125*AC$5/1200,2)</f>
        <v>0.0</v>
      </c>
      <c r="AD126" s="31">
        <f>ROUND(T125*AD$5/1200,2)</f>
        <v>0.0</v>
      </c>
      <c r="AE126" s="31">
        <f>ROUND(U125*AE$5/1200,2)</f>
        <v>0.0</v>
      </c>
      <c r="AF126" s="31">
        <f>ROUND(V125*AF$5/1200,2)</f>
        <v>0.0</v>
      </c>
      <c r="AG126" s="31">
        <f>ROUND(W125*AG$5/1200,2)</f>
        <v>0.0</v>
      </c>
      <c r="AH126" s="31">
        <f>ROUND(X125*AH$5/1200,2)</f>
        <v>0.0</v>
      </c>
      <c r="AI126" s="31">
        <f>ROUND(Y125*AI$5/1200,2)</f>
        <v>0.0</v>
      </c>
      <c r="AJ126" s="31">
        <f>ROUND(Z125*AJ$5/1200,2)</f>
        <v>0.0</v>
      </c>
      <c r="AK126" s="31">
        <f>ROUND(AA125*AK$5/1200,2)</f>
        <v>0.0</v>
      </c>
      <c r="AL126" s="31">
        <f>MIN(AL$5,R125+AB126)</f>
        <v>0.0</v>
      </c>
      <c r="AM126" s="31">
        <f>MIN(AM$5,S125+AC126)</f>
        <v>0.0</v>
      </c>
      <c r="AN126" s="31">
        <f>MIN(AN$5,T125+AD126)</f>
        <v>0.0</v>
      </c>
      <c r="AO126" s="31">
        <f>MIN(AO$5,U125+AE126)</f>
        <v>0.0</v>
      </c>
      <c r="AP126" s="31">
        <f>MIN(AP$5,V125+AF126)</f>
        <v>0.0</v>
      </c>
      <c r="AQ126" s="31">
        <f>MIN(AQ$5,W125+AG126)</f>
        <v>0.0</v>
      </c>
      <c r="AR126" s="31">
        <f>MIN(AR$5,X125+AH126)</f>
        <v>0.0</v>
      </c>
      <c r="AS126" s="31">
        <f>MIN(AS$5,Y125+AI126)</f>
        <v>0.0</v>
      </c>
      <c r="AT126" s="31">
        <f>MIN(AT$5,Z125+AJ126)</f>
        <v>0.0</v>
      </c>
      <c r="AU126" s="31">
        <f>MIN(AU$5,AA125+AK126)</f>
        <v>0.0</v>
      </c>
    </row>
    <row r="127">
      <c r="A127" s="25" t="str">
        <f>IF(F126&gt;0.005,122,"")</f>
        <v/>
      </c>
      <c r="B127" s="33" t="str">
        <f>IF(A127="","",EDATE(Долги!$D$5,121))</f>
        <v/>
      </c>
      <c r="C127" s="31">
        <f>SUM(H127:Q127)</f>
        <v>0.0</v>
      </c>
      <c r="D127" s="31">
        <f>SUM(AB127:AK127)</f>
        <v>0.0</v>
      </c>
      <c r="E127" s="31">
        <f>C127-D127</f>
        <v>0.0</v>
      </c>
      <c r="F127" s="31">
        <f>SUM(R127:AA127)</f>
        <v>0.0</v>
      </c>
      <c r="G127" s="34" t="str">
        <f>IF(OR(A127="",$F$5&lt;=0),"",REPT("█",ROUND(20*F127/$F$5,0)))</f>
        <v/>
      </c>
      <c r="H127" s="31">
        <f>AL127+MIN(R126+AB127-AL127,MAX(0,ROUND(Долги!$D$19-SUM($AL127:$AU127),2)))</f>
        <v>0.0</v>
      </c>
      <c r="I127" s="31">
        <f>AM127+MIN(S126+AC127-AM127,MAX(0,ROUND(ROUND(Долги!$D$19-SUM($AL127:$AU127),2)-(SUM($H127:H127)-SUM($AL127:AL127)),2)))</f>
        <v>0.0</v>
      </c>
      <c r="J127" s="31">
        <f>AN127+MIN(T126+AD127-AN127,MAX(0,ROUND(ROUND(Долги!$D$19-SUM($AL127:$AU127),2)-(SUM($H127:I127)-SUM($AL127:AM127)),2)))</f>
        <v>0.0</v>
      </c>
      <c r="K127" s="31">
        <f>AO127+MIN(U126+AE127-AO127,MAX(0,ROUND(ROUND(Долги!$D$19-SUM($AL127:$AU127),2)-(SUM($H127:J127)-SUM($AL127:AN127)),2)))</f>
        <v>0.0</v>
      </c>
      <c r="L127" s="31">
        <f>AP127+MIN(V126+AF127-AP127,MAX(0,ROUND(ROUND(Долги!$D$19-SUM($AL127:$AU127),2)-(SUM($H127:K127)-SUM($AL127:AO127)),2)))</f>
        <v>0.0</v>
      </c>
      <c r="M127" s="31">
        <f>AQ127+MIN(W126+AG127-AQ127,MAX(0,ROUND(ROUND(Долги!$D$19-SUM($AL127:$AU127),2)-(SUM($H127:L127)-SUM($AL127:AP127)),2)))</f>
        <v>0.0</v>
      </c>
      <c r="N127" s="31">
        <f>AR127+MIN(X126+AH127-AR127,MAX(0,ROUND(ROUND(Долги!$D$19-SUM($AL127:$AU127),2)-(SUM($H127:M127)-SUM($AL127:AQ127)),2)))</f>
        <v>0.0</v>
      </c>
      <c r="O127" s="31">
        <f>AS127+MIN(Y126+AI127-AS127,MAX(0,ROUND(ROUND(Долги!$D$19-SUM($AL127:$AU127),2)-(SUM($H127:N127)-SUM($AL127:AR127)),2)))</f>
        <v>0.0</v>
      </c>
      <c r="P127" s="31">
        <f>AT127+MIN(Z126+AJ127-AT127,MAX(0,ROUND(ROUND(Долги!$D$19-SUM($AL127:$AU127),2)-(SUM($H127:O127)-SUM($AL127:AS127)),2)))</f>
        <v>0.0</v>
      </c>
      <c r="Q127" s="31">
        <f>AU127+MIN(AA126+AK127-AU127,MAX(0,ROUND(ROUND(Долги!$D$19-SUM($AL127:$AU127),2)-(SUM($H127:P127)-SUM($AL127:AT127)),2)))</f>
        <v>0.0</v>
      </c>
      <c r="R127" s="31">
        <f>IF(R126+AB127-H127&lt;=0.01,0,ROUND(R126+AB127-H127,2))</f>
        <v>0.0</v>
      </c>
      <c r="S127" s="31">
        <f>IF(S126+AC127-I127&lt;=0.01,0,ROUND(S126+AC127-I127,2))</f>
        <v>0.0</v>
      </c>
      <c r="T127" s="31">
        <f>IF(T126+AD127-J127&lt;=0.01,0,ROUND(T126+AD127-J127,2))</f>
        <v>0.0</v>
      </c>
      <c r="U127" s="31">
        <f>IF(U126+AE127-K127&lt;=0.01,0,ROUND(U126+AE127-K127,2))</f>
        <v>0.0</v>
      </c>
      <c r="V127" s="31">
        <f>IF(V126+AF127-L127&lt;=0.01,0,ROUND(V126+AF127-L127,2))</f>
        <v>0.0</v>
      </c>
      <c r="W127" s="31">
        <f>IF(W126+AG127-M127&lt;=0.01,0,ROUND(W126+AG127-M127,2))</f>
        <v>0.0</v>
      </c>
      <c r="X127" s="31">
        <f>IF(X126+AH127-N127&lt;=0.01,0,ROUND(X126+AH127-N127,2))</f>
        <v>0.0</v>
      </c>
      <c r="Y127" s="31">
        <f>IF(Y126+AI127-O127&lt;=0.01,0,ROUND(Y126+AI127-O127,2))</f>
        <v>0.0</v>
      </c>
      <c r="Z127" s="31">
        <f>IF(Z126+AJ127-P127&lt;=0.01,0,ROUND(Z126+AJ127-P127,2))</f>
        <v>0.0</v>
      </c>
      <c r="AA127" s="31">
        <f>IF(AA126+AK127-Q127&lt;=0.01,0,ROUND(AA126+AK127-Q127,2))</f>
        <v>0.0</v>
      </c>
      <c r="AB127" s="31">
        <f>ROUND(R126*AB$5/1200,2)</f>
        <v>0.0</v>
      </c>
      <c r="AC127" s="31">
        <f>ROUND(S126*AC$5/1200,2)</f>
        <v>0.0</v>
      </c>
      <c r="AD127" s="31">
        <f>ROUND(T126*AD$5/1200,2)</f>
        <v>0.0</v>
      </c>
      <c r="AE127" s="31">
        <f>ROUND(U126*AE$5/1200,2)</f>
        <v>0.0</v>
      </c>
      <c r="AF127" s="31">
        <f>ROUND(V126*AF$5/1200,2)</f>
        <v>0.0</v>
      </c>
      <c r="AG127" s="31">
        <f>ROUND(W126*AG$5/1200,2)</f>
        <v>0.0</v>
      </c>
      <c r="AH127" s="31">
        <f>ROUND(X126*AH$5/1200,2)</f>
        <v>0.0</v>
      </c>
      <c r="AI127" s="31">
        <f>ROUND(Y126*AI$5/1200,2)</f>
        <v>0.0</v>
      </c>
      <c r="AJ127" s="31">
        <f>ROUND(Z126*AJ$5/1200,2)</f>
        <v>0.0</v>
      </c>
      <c r="AK127" s="31">
        <f>ROUND(AA126*AK$5/1200,2)</f>
        <v>0.0</v>
      </c>
      <c r="AL127" s="31">
        <f>MIN(AL$5,R126+AB127)</f>
        <v>0.0</v>
      </c>
      <c r="AM127" s="31">
        <f>MIN(AM$5,S126+AC127)</f>
        <v>0.0</v>
      </c>
      <c r="AN127" s="31">
        <f>MIN(AN$5,T126+AD127)</f>
        <v>0.0</v>
      </c>
      <c r="AO127" s="31">
        <f>MIN(AO$5,U126+AE127)</f>
        <v>0.0</v>
      </c>
      <c r="AP127" s="31">
        <f>MIN(AP$5,V126+AF127)</f>
        <v>0.0</v>
      </c>
      <c r="AQ127" s="31">
        <f>MIN(AQ$5,W126+AG127)</f>
        <v>0.0</v>
      </c>
      <c r="AR127" s="31">
        <f>MIN(AR$5,X126+AH127)</f>
        <v>0.0</v>
      </c>
      <c r="AS127" s="31">
        <f>MIN(AS$5,Y126+AI127)</f>
        <v>0.0</v>
      </c>
      <c r="AT127" s="31">
        <f>MIN(AT$5,Z126+AJ127)</f>
        <v>0.0</v>
      </c>
      <c r="AU127" s="31">
        <f>MIN(AU$5,AA126+AK127)</f>
        <v>0.0</v>
      </c>
    </row>
    <row r="128">
      <c r="A128" s="25" t="str">
        <f>IF(F127&gt;0.005,123,"")</f>
        <v/>
      </c>
      <c r="B128" s="33" t="str">
        <f>IF(A128="","",EDATE(Долги!$D$5,122))</f>
        <v/>
      </c>
      <c r="C128" s="31">
        <f>SUM(H128:Q128)</f>
        <v>0.0</v>
      </c>
      <c r="D128" s="31">
        <f>SUM(AB128:AK128)</f>
        <v>0.0</v>
      </c>
      <c r="E128" s="31">
        <f>C128-D128</f>
        <v>0.0</v>
      </c>
      <c r="F128" s="31">
        <f>SUM(R128:AA128)</f>
        <v>0.0</v>
      </c>
      <c r="G128" s="34" t="str">
        <f>IF(OR(A128="",$F$5&lt;=0),"",REPT("█",ROUND(20*F128/$F$5,0)))</f>
        <v/>
      </c>
      <c r="H128" s="31">
        <f>AL128+MIN(R127+AB128-AL128,MAX(0,ROUND(Долги!$D$19-SUM($AL128:$AU128),2)))</f>
        <v>0.0</v>
      </c>
      <c r="I128" s="31">
        <f>AM128+MIN(S127+AC128-AM128,MAX(0,ROUND(ROUND(Долги!$D$19-SUM($AL128:$AU128),2)-(SUM($H128:H128)-SUM($AL128:AL128)),2)))</f>
        <v>0.0</v>
      </c>
      <c r="J128" s="31">
        <f>AN128+MIN(T127+AD128-AN128,MAX(0,ROUND(ROUND(Долги!$D$19-SUM($AL128:$AU128),2)-(SUM($H128:I128)-SUM($AL128:AM128)),2)))</f>
        <v>0.0</v>
      </c>
      <c r="K128" s="31">
        <f>AO128+MIN(U127+AE128-AO128,MAX(0,ROUND(ROUND(Долги!$D$19-SUM($AL128:$AU128),2)-(SUM($H128:J128)-SUM($AL128:AN128)),2)))</f>
        <v>0.0</v>
      </c>
      <c r="L128" s="31">
        <f>AP128+MIN(V127+AF128-AP128,MAX(0,ROUND(ROUND(Долги!$D$19-SUM($AL128:$AU128),2)-(SUM($H128:K128)-SUM($AL128:AO128)),2)))</f>
        <v>0.0</v>
      </c>
      <c r="M128" s="31">
        <f>AQ128+MIN(W127+AG128-AQ128,MAX(0,ROUND(ROUND(Долги!$D$19-SUM($AL128:$AU128),2)-(SUM($H128:L128)-SUM($AL128:AP128)),2)))</f>
        <v>0.0</v>
      </c>
      <c r="N128" s="31">
        <f>AR128+MIN(X127+AH128-AR128,MAX(0,ROUND(ROUND(Долги!$D$19-SUM($AL128:$AU128),2)-(SUM($H128:M128)-SUM($AL128:AQ128)),2)))</f>
        <v>0.0</v>
      </c>
      <c r="O128" s="31">
        <f>AS128+MIN(Y127+AI128-AS128,MAX(0,ROUND(ROUND(Долги!$D$19-SUM($AL128:$AU128),2)-(SUM($H128:N128)-SUM($AL128:AR128)),2)))</f>
        <v>0.0</v>
      </c>
      <c r="P128" s="31">
        <f>AT128+MIN(Z127+AJ128-AT128,MAX(0,ROUND(ROUND(Долги!$D$19-SUM($AL128:$AU128),2)-(SUM($H128:O128)-SUM($AL128:AS128)),2)))</f>
        <v>0.0</v>
      </c>
      <c r="Q128" s="31">
        <f>AU128+MIN(AA127+AK128-AU128,MAX(0,ROUND(ROUND(Долги!$D$19-SUM($AL128:$AU128),2)-(SUM($H128:P128)-SUM($AL128:AT128)),2)))</f>
        <v>0.0</v>
      </c>
      <c r="R128" s="31">
        <f>IF(R127+AB128-H128&lt;=0.01,0,ROUND(R127+AB128-H128,2))</f>
        <v>0.0</v>
      </c>
      <c r="S128" s="31">
        <f>IF(S127+AC128-I128&lt;=0.01,0,ROUND(S127+AC128-I128,2))</f>
        <v>0.0</v>
      </c>
      <c r="T128" s="31">
        <f>IF(T127+AD128-J128&lt;=0.01,0,ROUND(T127+AD128-J128,2))</f>
        <v>0.0</v>
      </c>
      <c r="U128" s="31">
        <f>IF(U127+AE128-K128&lt;=0.01,0,ROUND(U127+AE128-K128,2))</f>
        <v>0.0</v>
      </c>
      <c r="V128" s="31">
        <f>IF(V127+AF128-L128&lt;=0.01,0,ROUND(V127+AF128-L128,2))</f>
        <v>0.0</v>
      </c>
      <c r="W128" s="31">
        <f>IF(W127+AG128-M128&lt;=0.01,0,ROUND(W127+AG128-M128,2))</f>
        <v>0.0</v>
      </c>
      <c r="X128" s="31">
        <f>IF(X127+AH128-N128&lt;=0.01,0,ROUND(X127+AH128-N128,2))</f>
        <v>0.0</v>
      </c>
      <c r="Y128" s="31">
        <f>IF(Y127+AI128-O128&lt;=0.01,0,ROUND(Y127+AI128-O128,2))</f>
        <v>0.0</v>
      </c>
      <c r="Z128" s="31">
        <f>IF(Z127+AJ128-P128&lt;=0.01,0,ROUND(Z127+AJ128-P128,2))</f>
        <v>0.0</v>
      </c>
      <c r="AA128" s="31">
        <f>IF(AA127+AK128-Q128&lt;=0.01,0,ROUND(AA127+AK128-Q128,2))</f>
        <v>0.0</v>
      </c>
      <c r="AB128" s="31">
        <f>ROUND(R127*AB$5/1200,2)</f>
        <v>0.0</v>
      </c>
      <c r="AC128" s="31">
        <f>ROUND(S127*AC$5/1200,2)</f>
        <v>0.0</v>
      </c>
      <c r="AD128" s="31">
        <f>ROUND(T127*AD$5/1200,2)</f>
        <v>0.0</v>
      </c>
      <c r="AE128" s="31">
        <f>ROUND(U127*AE$5/1200,2)</f>
        <v>0.0</v>
      </c>
      <c r="AF128" s="31">
        <f>ROUND(V127*AF$5/1200,2)</f>
        <v>0.0</v>
      </c>
      <c r="AG128" s="31">
        <f>ROUND(W127*AG$5/1200,2)</f>
        <v>0.0</v>
      </c>
      <c r="AH128" s="31">
        <f>ROUND(X127*AH$5/1200,2)</f>
        <v>0.0</v>
      </c>
      <c r="AI128" s="31">
        <f>ROUND(Y127*AI$5/1200,2)</f>
        <v>0.0</v>
      </c>
      <c r="AJ128" s="31">
        <f>ROUND(Z127*AJ$5/1200,2)</f>
        <v>0.0</v>
      </c>
      <c r="AK128" s="31">
        <f>ROUND(AA127*AK$5/1200,2)</f>
        <v>0.0</v>
      </c>
      <c r="AL128" s="31">
        <f>MIN(AL$5,R127+AB128)</f>
        <v>0.0</v>
      </c>
      <c r="AM128" s="31">
        <f>MIN(AM$5,S127+AC128)</f>
        <v>0.0</v>
      </c>
      <c r="AN128" s="31">
        <f>MIN(AN$5,T127+AD128)</f>
        <v>0.0</v>
      </c>
      <c r="AO128" s="31">
        <f>MIN(AO$5,U127+AE128)</f>
        <v>0.0</v>
      </c>
      <c r="AP128" s="31">
        <f>MIN(AP$5,V127+AF128)</f>
        <v>0.0</v>
      </c>
      <c r="AQ128" s="31">
        <f>MIN(AQ$5,W127+AG128)</f>
        <v>0.0</v>
      </c>
      <c r="AR128" s="31">
        <f>MIN(AR$5,X127+AH128)</f>
        <v>0.0</v>
      </c>
      <c r="AS128" s="31">
        <f>MIN(AS$5,Y127+AI128)</f>
        <v>0.0</v>
      </c>
      <c r="AT128" s="31">
        <f>MIN(AT$5,Z127+AJ128)</f>
        <v>0.0</v>
      </c>
      <c r="AU128" s="31">
        <f>MIN(AU$5,AA127+AK128)</f>
        <v>0.0</v>
      </c>
    </row>
    <row r="129">
      <c r="A129" s="25" t="str">
        <f>IF(F128&gt;0.005,124,"")</f>
        <v/>
      </c>
      <c r="B129" s="33" t="str">
        <f>IF(A129="","",EDATE(Долги!$D$5,123))</f>
        <v/>
      </c>
      <c r="C129" s="31">
        <f>SUM(H129:Q129)</f>
        <v>0.0</v>
      </c>
      <c r="D129" s="31">
        <f>SUM(AB129:AK129)</f>
        <v>0.0</v>
      </c>
      <c r="E129" s="31">
        <f>C129-D129</f>
        <v>0.0</v>
      </c>
      <c r="F129" s="31">
        <f>SUM(R129:AA129)</f>
        <v>0.0</v>
      </c>
      <c r="G129" s="34" t="str">
        <f>IF(OR(A129="",$F$5&lt;=0),"",REPT("█",ROUND(20*F129/$F$5,0)))</f>
        <v/>
      </c>
      <c r="H129" s="31">
        <f>AL129+MIN(R128+AB129-AL129,MAX(0,ROUND(Долги!$D$19-SUM($AL129:$AU129),2)))</f>
        <v>0.0</v>
      </c>
      <c r="I129" s="31">
        <f>AM129+MIN(S128+AC129-AM129,MAX(0,ROUND(ROUND(Долги!$D$19-SUM($AL129:$AU129),2)-(SUM($H129:H129)-SUM($AL129:AL129)),2)))</f>
        <v>0.0</v>
      </c>
      <c r="J129" s="31">
        <f>AN129+MIN(T128+AD129-AN129,MAX(0,ROUND(ROUND(Долги!$D$19-SUM($AL129:$AU129),2)-(SUM($H129:I129)-SUM($AL129:AM129)),2)))</f>
        <v>0.0</v>
      </c>
      <c r="K129" s="31">
        <f>AO129+MIN(U128+AE129-AO129,MAX(0,ROUND(ROUND(Долги!$D$19-SUM($AL129:$AU129),2)-(SUM($H129:J129)-SUM($AL129:AN129)),2)))</f>
        <v>0.0</v>
      </c>
      <c r="L129" s="31">
        <f>AP129+MIN(V128+AF129-AP129,MAX(0,ROUND(ROUND(Долги!$D$19-SUM($AL129:$AU129),2)-(SUM($H129:K129)-SUM($AL129:AO129)),2)))</f>
        <v>0.0</v>
      </c>
      <c r="M129" s="31">
        <f>AQ129+MIN(W128+AG129-AQ129,MAX(0,ROUND(ROUND(Долги!$D$19-SUM($AL129:$AU129),2)-(SUM($H129:L129)-SUM($AL129:AP129)),2)))</f>
        <v>0.0</v>
      </c>
      <c r="N129" s="31">
        <f>AR129+MIN(X128+AH129-AR129,MAX(0,ROUND(ROUND(Долги!$D$19-SUM($AL129:$AU129),2)-(SUM($H129:M129)-SUM($AL129:AQ129)),2)))</f>
        <v>0.0</v>
      </c>
      <c r="O129" s="31">
        <f>AS129+MIN(Y128+AI129-AS129,MAX(0,ROUND(ROUND(Долги!$D$19-SUM($AL129:$AU129),2)-(SUM($H129:N129)-SUM($AL129:AR129)),2)))</f>
        <v>0.0</v>
      </c>
      <c r="P129" s="31">
        <f>AT129+MIN(Z128+AJ129-AT129,MAX(0,ROUND(ROUND(Долги!$D$19-SUM($AL129:$AU129),2)-(SUM($H129:O129)-SUM($AL129:AS129)),2)))</f>
        <v>0.0</v>
      </c>
      <c r="Q129" s="31">
        <f>AU129+MIN(AA128+AK129-AU129,MAX(0,ROUND(ROUND(Долги!$D$19-SUM($AL129:$AU129),2)-(SUM($H129:P129)-SUM($AL129:AT129)),2)))</f>
        <v>0.0</v>
      </c>
      <c r="R129" s="31">
        <f>IF(R128+AB129-H129&lt;=0.01,0,ROUND(R128+AB129-H129,2))</f>
        <v>0.0</v>
      </c>
      <c r="S129" s="31">
        <f>IF(S128+AC129-I129&lt;=0.01,0,ROUND(S128+AC129-I129,2))</f>
        <v>0.0</v>
      </c>
      <c r="T129" s="31">
        <f>IF(T128+AD129-J129&lt;=0.01,0,ROUND(T128+AD129-J129,2))</f>
        <v>0.0</v>
      </c>
      <c r="U129" s="31">
        <f>IF(U128+AE129-K129&lt;=0.01,0,ROUND(U128+AE129-K129,2))</f>
        <v>0.0</v>
      </c>
      <c r="V129" s="31">
        <f>IF(V128+AF129-L129&lt;=0.01,0,ROUND(V128+AF129-L129,2))</f>
        <v>0.0</v>
      </c>
      <c r="W129" s="31">
        <f>IF(W128+AG129-M129&lt;=0.01,0,ROUND(W128+AG129-M129,2))</f>
        <v>0.0</v>
      </c>
      <c r="X129" s="31">
        <f>IF(X128+AH129-N129&lt;=0.01,0,ROUND(X128+AH129-N129,2))</f>
        <v>0.0</v>
      </c>
      <c r="Y129" s="31">
        <f>IF(Y128+AI129-O129&lt;=0.01,0,ROUND(Y128+AI129-O129,2))</f>
        <v>0.0</v>
      </c>
      <c r="Z129" s="31">
        <f>IF(Z128+AJ129-P129&lt;=0.01,0,ROUND(Z128+AJ129-P129,2))</f>
        <v>0.0</v>
      </c>
      <c r="AA129" s="31">
        <f>IF(AA128+AK129-Q129&lt;=0.01,0,ROUND(AA128+AK129-Q129,2))</f>
        <v>0.0</v>
      </c>
      <c r="AB129" s="31">
        <f>ROUND(R128*AB$5/1200,2)</f>
        <v>0.0</v>
      </c>
      <c r="AC129" s="31">
        <f>ROUND(S128*AC$5/1200,2)</f>
        <v>0.0</v>
      </c>
      <c r="AD129" s="31">
        <f>ROUND(T128*AD$5/1200,2)</f>
        <v>0.0</v>
      </c>
      <c r="AE129" s="31">
        <f>ROUND(U128*AE$5/1200,2)</f>
        <v>0.0</v>
      </c>
      <c r="AF129" s="31">
        <f>ROUND(V128*AF$5/1200,2)</f>
        <v>0.0</v>
      </c>
      <c r="AG129" s="31">
        <f>ROUND(W128*AG$5/1200,2)</f>
        <v>0.0</v>
      </c>
      <c r="AH129" s="31">
        <f>ROUND(X128*AH$5/1200,2)</f>
        <v>0.0</v>
      </c>
      <c r="AI129" s="31">
        <f>ROUND(Y128*AI$5/1200,2)</f>
        <v>0.0</v>
      </c>
      <c r="AJ129" s="31">
        <f>ROUND(Z128*AJ$5/1200,2)</f>
        <v>0.0</v>
      </c>
      <c r="AK129" s="31">
        <f>ROUND(AA128*AK$5/1200,2)</f>
        <v>0.0</v>
      </c>
      <c r="AL129" s="31">
        <f>MIN(AL$5,R128+AB129)</f>
        <v>0.0</v>
      </c>
      <c r="AM129" s="31">
        <f>MIN(AM$5,S128+AC129)</f>
        <v>0.0</v>
      </c>
      <c r="AN129" s="31">
        <f>MIN(AN$5,T128+AD129)</f>
        <v>0.0</v>
      </c>
      <c r="AO129" s="31">
        <f>MIN(AO$5,U128+AE129)</f>
        <v>0.0</v>
      </c>
      <c r="AP129" s="31">
        <f>MIN(AP$5,V128+AF129)</f>
        <v>0.0</v>
      </c>
      <c r="AQ129" s="31">
        <f>MIN(AQ$5,W128+AG129)</f>
        <v>0.0</v>
      </c>
      <c r="AR129" s="31">
        <f>MIN(AR$5,X128+AH129)</f>
        <v>0.0</v>
      </c>
      <c r="AS129" s="31">
        <f>MIN(AS$5,Y128+AI129)</f>
        <v>0.0</v>
      </c>
      <c r="AT129" s="31">
        <f>MIN(AT$5,Z128+AJ129)</f>
        <v>0.0</v>
      </c>
      <c r="AU129" s="31">
        <f>MIN(AU$5,AA128+AK129)</f>
        <v>0.0</v>
      </c>
    </row>
    <row r="130">
      <c r="A130" s="25" t="str">
        <f>IF(F129&gt;0.005,125,"")</f>
        <v/>
      </c>
      <c r="B130" s="33" t="str">
        <f>IF(A130="","",EDATE(Долги!$D$5,124))</f>
        <v/>
      </c>
      <c r="C130" s="31">
        <f>SUM(H130:Q130)</f>
        <v>0.0</v>
      </c>
      <c r="D130" s="31">
        <f>SUM(AB130:AK130)</f>
        <v>0.0</v>
      </c>
      <c r="E130" s="31">
        <f>C130-D130</f>
        <v>0.0</v>
      </c>
      <c r="F130" s="31">
        <f>SUM(R130:AA130)</f>
        <v>0.0</v>
      </c>
      <c r="G130" s="34" t="str">
        <f>IF(OR(A130="",$F$5&lt;=0),"",REPT("█",ROUND(20*F130/$F$5,0)))</f>
        <v/>
      </c>
      <c r="H130" s="31">
        <f>AL130+MIN(R129+AB130-AL130,MAX(0,ROUND(Долги!$D$19-SUM($AL130:$AU130),2)))</f>
        <v>0.0</v>
      </c>
      <c r="I130" s="31">
        <f>AM130+MIN(S129+AC130-AM130,MAX(0,ROUND(ROUND(Долги!$D$19-SUM($AL130:$AU130),2)-(SUM($H130:H130)-SUM($AL130:AL130)),2)))</f>
        <v>0.0</v>
      </c>
      <c r="J130" s="31">
        <f>AN130+MIN(T129+AD130-AN130,MAX(0,ROUND(ROUND(Долги!$D$19-SUM($AL130:$AU130),2)-(SUM($H130:I130)-SUM($AL130:AM130)),2)))</f>
        <v>0.0</v>
      </c>
      <c r="K130" s="31">
        <f>AO130+MIN(U129+AE130-AO130,MAX(0,ROUND(ROUND(Долги!$D$19-SUM($AL130:$AU130),2)-(SUM($H130:J130)-SUM($AL130:AN130)),2)))</f>
        <v>0.0</v>
      </c>
      <c r="L130" s="31">
        <f>AP130+MIN(V129+AF130-AP130,MAX(0,ROUND(ROUND(Долги!$D$19-SUM($AL130:$AU130),2)-(SUM($H130:K130)-SUM($AL130:AO130)),2)))</f>
        <v>0.0</v>
      </c>
      <c r="M130" s="31">
        <f>AQ130+MIN(W129+AG130-AQ130,MAX(0,ROUND(ROUND(Долги!$D$19-SUM($AL130:$AU130),2)-(SUM($H130:L130)-SUM($AL130:AP130)),2)))</f>
        <v>0.0</v>
      </c>
      <c r="N130" s="31">
        <f>AR130+MIN(X129+AH130-AR130,MAX(0,ROUND(ROUND(Долги!$D$19-SUM($AL130:$AU130),2)-(SUM($H130:M130)-SUM($AL130:AQ130)),2)))</f>
        <v>0.0</v>
      </c>
      <c r="O130" s="31">
        <f>AS130+MIN(Y129+AI130-AS130,MAX(0,ROUND(ROUND(Долги!$D$19-SUM($AL130:$AU130),2)-(SUM($H130:N130)-SUM($AL130:AR130)),2)))</f>
        <v>0.0</v>
      </c>
      <c r="P130" s="31">
        <f>AT130+MIN(Z129+AJ130-AT130,MAX(0,ROUND(ROUND(Долги!$D$19-SUM($AL130:$AU130),2)-(SUM($H130:O130)-SUM($AL130:AS130)),2)))</f>
        <v>0.0</v>
      </c>
      <c r="Q130" s="31">
        <f>AU130+MIN(AA129+AK130-AU130,MAX(0,ROUND(ROUND(Долги!$D$19-SUM($AL130:$AU130),2)-(SUM($H130:P130)-SUM($AL130:AT130)),2)))</f>
        <v>0.0</v>
      </c>
      <c r="R130" s="31">
        <f>IF(R129+AB130-H130&lt;=0.01,0,ROUND(R129+AB130-H130,2))</f>
        <v>0.0</v>
      </c>
      <c r="S130" s="31">
        <f>IF(S129+AC130-I130&lt;=0.01,0,ROUND(S129+AC130-I130,2))</f>
        <v>0.0</v>
      </c>
      <c r="T130" s="31">
        <f>IF(T129+AD130-J130&lt;=0.01,0,ROUND(T129+AD130-J130,2))</f>
        <v>0.0</v>
      </c>
      <c r="U130" s="31">
        <f>IF(U129+AE130-K130&lt;=0.01,0,ROUND(U129+AE130-K130,2))</f>
        <v>0.0</v>
      </c>
      <c r="V130" s="31">
        <f>IF(V129+AF130-L130&lt;=0.01,0,ROUND(V129+AF130-L130,2))</f>
        <v>0.0</v>
      </c>
      <c r="W130" s="31">
        <f>IF(W129+AG130-M130&lt;=0.01,0,ROUND(W129+AG130-M130,2))</f>
        <v>0.0</v>
      </c>
      <c r="X130" s="31">
        <f>IF(X129+AH130-N130&lt;=0.01,0,ROUND(X129+AH130-N130,2))</f>
        <v>0.0</v>
      </c>
      <c r="Y130" s="31">
        <f>IF(Y129+AI130-O130&lt;=0.01,0,ROUND(Y129+AI130-O130,2))</f>
        <v>0.0</v>
      </c>
      <c r="Z130" s="31">
        <f>IF(Z129+AJ130-P130&lt;=0.01,0,ROUND(Z129+AJ130-P130,2))</f>
        <v>0.0</v>
      </c>
      <c r="AA130" s="31">
        <f>IF(AA129+AK130-Q130&lt;=0.01,0,ROUND(AA129+AK130-Q130,2))</f>
        <v>0.0</v>
      </c>
      <c r="AB130" s="31">
        <f>ROUND(R129*AB$5/1200,2)</f>
        <v>0.0</v>
      </c>
      <c r="AC130" s="31">
        <f>ROUND(S129*AC$5/1200,2)</f>
        <v>0.0</v>
      </c>
      <c r="AD130" s="31">
        <f>ROUND(T129*AD$5/1200,2)</f>
        <v>0.0</v>
      </c>
      <c r="AE130" s="31">
        <f>ROUND(U129*AE$5/1200,2)</f>
        <v>0.0</v>
      </c>
      <c r="AF130" s="31">
        <f>ROUND(V129*AF$5/1200,2)</f>
        <v>0.0</v>
      </c>
      <c r="AG130" s="31">
        <f>ROUND(W129*AG$5/1200,2)</f>
        <v>0.0</v>
      </c>
      <c r="AH130" s="31">
        <f>ROUND(X129*AH$5/1200,2)</f>
        <v>0.0</v>
      </c>
      <c r="AI130" s="31">
        <f>ROUND(Y129*AI$5/1200,2)</f>
        <v>0.0</v>
      </c>
      <c r="AJ130" s="31">
        <f>ROUND(Z129*AJ$5/1200,2)</f>
        <v>0.0</v>
      </c>
      <c r="AK130" s="31">
        <f>ROUND(AA129*AK$5/1200,2)</f>
        <v>0.0</v>
      </c>
      <c r="AL130" s="31">
        <f>MIN(AL$5,R129+AB130)</f>
        <v>0.0</v>
      </c>
      <c r="AM130" s="31">
        <f>MIN(AM$5,S129+AC130)</f>
        <v>0.0</v>
      </c>
      <c r="AN130" s="31">
        <f>MIN(AN$5,T129+AD130)</f>
        <v>0.0</v>
      </c>
      <c r="AO130" s="31">
        <f>MIN(AO$5,U129+AE130)</f>
        <v>0.0</v>
      </c>
      <c r="AP130" s="31">
        <f>MIN(AP$5,V129+AF130)</f>
        <v>0.0</v>
      </c>
      <c r="AQ130" s="31">
        <f>MIN(AQ$5,W129+AG130)</f>
        <v>0.0</v>
      </c>
      <c r="AR130" s="31">
        <f>MIN(AR$5,X129+AH130)</f>
        <v>0.0</v>
      </c>
      <c r="AS130" s="31">
        <f>MIN(AS$5,Y129+AI130)</f>
        <v>0.0</v>
      </c>
      <c r="AT130" s="31">
        <f>MIN(AT$5,Z129+AJ130)</f>
        <v>0.0</v>
      </c>
      <c r="AU130" s="31">
        <f>MIN(AU$5,AA129+AK130)</f>
        <v>0.0</v>
      </c>
    </row>
    <row r="131">
      <c r="A131" s="25" t="str">
        <f>IF(F130&gt;0.005,126,"")</f>
        <v/>
      </c>
      <c r="B131" s="33" t="str">
        <f>IF(A131="","",EDATE(Долги!$D$5,125))</f>
        <v/>
      </c>
      <c r="C131" s="31">
        <f>SUM(H131:Q131)</f>
        <v>0.0</v>
      </c>
      <c r="D131" s="31">
        <f>SUM(AB131:AK131)</f>
        <v>0.0</v>
      </c>
      <c r="E131" s="31">
        <f>C131-D131</f>
        <v>0.0</v>
      </c>
      <c r="F131" s="31">
        <f>SUM(R131:AA131)</f>
        <v>0.0</v>
      </c>
      <c r="G131" s="34" t="str">
        <f>IF(OR(A131="",$F$5&lt;=0),"",REPT("█",ROUND(20*F131/$F$5,0)))</f>
        <v/>
      </c>
      <c r="H131" s="31">
        <f>AL131+MIN(R130+AB131-AL131,MAX(0,ROUND(Долги!$D$19-SUM($AL131:$AU131),2)))</f>
        <v>0.0</v>
      </c>
      <c r="I131" s="31">
        <f>AM131+MIN(S130+AC131-AM131,MAX(0,ROUND(ROUND(Долги!$D$19-SUM($AL131:$AU131),2)-(SUM($H131:H131)-SUM($AL131:AL131)),2)))</f>
        <v>0.0</v>
      </c>
      <c r="J131" s="31">
        <f>AN131+MIN(T130+AD131-AN131,MAX(0,ROUND(ROUND(Долги!$D$19-SUM($AL131:$AU131),2)-(SUM($H131:I131)-SUM($AL131:AM131)),2)))</f>
        <v>0.0</v>
      </c>
      <c r="K131" s="31">
        <f>AO131+MIN(U130+AE131-AO131,MAX(0,ROUND(ROUND(Долги!$D$19-SUM($AL131:$AU131),2)-(SUM($H131:J131)-SUM($AL131:AN131)),2)))</f>
        <v>0.0</v>
      </c>
      <c r="L131" s="31">
        <f>AP131+MIN(V130+AF131-AP131,MAX(0,ROUND(ROUND(Долги!$D$19-SUM($AL131:$AU131),2)-(SUM($H131:K131)-SUM($AL131:AO131)),2)))</f>
        <v>0.0</v>
      </c>
      <c r="M131" s="31">
        <f>AQ131+MIN(W130+AG131-AQ131,MAX(0,ROUND(ROUND(Долги!$D$19-SUM($AL131:$AU131),2)-(SUM($H131:L131)-SUM($AL131:AP131)),2)))</f>
        <v>0.0</v>
      </c>
      <c r="N131" s="31">
        <f>AR131+MIN(X130+AH131-AR131,MAX(0,ROUND(ROUND(Долги!$D$19-SUM($AL131:$AU131),2)-(SUM($H131:M131)-SUM($AL131:AQ131)),2)))</f>
        <v>0.0</v>
      </c>
      <c r="O131" s="31">
        <f>AS131+MIN(Y130+AI131-AS131,MAX(0,ROUND(ROUND(Долги!$D$19-SUM($AL131:$AU131),2)-(SUM($H131:N131)-SUM($AL131:AR131)),2)))</f>
        <v>0.0</v>
      </c>
      <c r="P131" s="31">
        <f>AT131+MIN(Z130+AJ131-AT131,MAX(0,ROUND(ROUND(Долги!$D$19-SUM($AL131:$AU131),2)-(SUM($H131:O131)-SUM($AL131:AS131)),2)))</f>
        <v>0.0</v>
      </c>
      <c r="Q131" s="31">
        <f>AU131+MIN(AA130+AK131-AU131,MAX(0,ROUND(ROUND(Долги!$D$19-SUM($AL131:$AU131),2)-(SUM($H131:P131)-SUM($AL131:AT131)),2)))</f>
        <v>0.0</v>
      </c>
      <c r="R131" s="31">
        <f>IF(R130+AB131-H131&lt;=0.01,0,ROUND(R130+AB131-H131,2))</f>
        <v>0.0</v>
      </c>
      <c r="S131" s="31">
        <f>IF(S130+AC131-I131&lt;=0.01,0,ROUND(S130+AC131-I131,2))</f>
        <v>0.0</v>
      </c>
      <c r="T131" s="31">
        <f>IF(T130+AD131-J131&lt;=0.01,0,ROUND(T130+AD131-J131,2))</f>
        <v>0.0</v>
      </c>
      <c r="U131" s="31">
        <f>IF(U130+AE131-K131&lt;=0.01,0,ROUND(U130+AE131-K131,2))</f>
        <v>0.0</v>
      </c>
      <c r="V131" s="31">
        <f>IF(V130+AF131-L131&lt;=0.01,0,ROUND(V130+AF131-L131,2))</f>
        <v>0.0</v>
      </c>
      <c r="W131" s="31">
        <f>IF(W130+AG131-M131&lt;=0.01,0,ROUND(W130+AG131-M131,2))</f>
        <v>0.0</v>
      </c>
      <c r="X131" s="31">
        <f>IF(X130+AH131-N131&lt;=0.01,0,ROUND(X130+AH131-N131,2))</f>
        <v>0.0</v>
      </c>
      <c r="Y131" s="31">
        <f>IF(Y130+AI131-O131&lt;=0.01,0,ROUND(Y130+AI131-O131,2))</f>
        <v>0.0</v>
      </c>
      <c r="Z131" s="31">
        <f>IF(Z130+AJ131-P131&lt;=0.01,0,ROUND(Z130+AJ131-P131,2))</f>
        <v>0.0</v>
      </c>
      <c r="AA131" s="31">
        <f>IF(AA130+AK131-Q131&lt;=0.01,0,ROUND(AA130+AK131-Q131,2))</f>
        <v>0.0</v>
      </c>
      <c r="AB131" s="31">
        <f>ROUND(R130*AB$5/1200,2)</f>
        <v>0.0</v>
      </c>
      <c r="AC131" s="31">
        <f>ROUND(S130*AC$5/1200,2)</f>
        <v>0.0</v>
      </c>
      <c r="AD131" s="31">
        <f>ROUND(T130*AD$5/1200,2)</f>
        <v>0.0</v>
      </c>
      <c r="AE131" s="31">
        <f>ROUND(U130*AE$5/1200,2)</f>
        <v>0.0</v>
      </c>
      <c r="AF131" s="31">
        <f>ROUND(V130*AF$5/1200,2)</f>
        <v>0.0</v>
      </c>
      <c r="AG131" s="31">
        <f>ROUND(W130*AG$5/1200,2)</f>
        <v>0.0</v>
      </c>
      <c r="AH131" s="31">
        <f>ROUND(X130*AH$5/1200,2)</f>
        <v>0.0</v>
      </c>
      <c r="AI131" s="31">
        <f>ROUND(Y130*AI$5/1200,2)</f>
        <v>0.0</v>
      </c>
      <c r="AJ131" s="31">
        <f>ROUND(Z130*AJ$5/1200,2)</f>
        <v>0.0</v>
      </c>
      <c r="AK131" s="31">
        <f>ROUND(AA130*AK$5/1200,2)</f>
        <v>0.0</v>
      </c>
      <c r="AL131" s="31">
        <f>MIN(AL$5,R130+AB131)</f>
        <v>0.0</v>
      </c>
      <c r="AM131" s="31">
        <f>MIN(AM$5,S130+AC131)</f>
        <v>0.0</v>
      </c>
      <c r="AN131" s="31">
        <f>MIN(AN$5,T130+AD131)</f>
        <v>0.0</v>
      </c>
      <c r="AO131" s="31">
        <f>MIN(AO$5,U130+AE131)</f>
        <v>0.0</v>
      </c>
      <c r="AP131" s="31">
        <f>MIN(AP$5,V130+AF131)</f>
        <v>0.0</v>
      </c>
      <c r="AQ131" s="31">
        <f>MIN(AQ$5,W130+AG131)</f>
        <v>0.0</v>
      </c>
      <c r="AR131" s="31">
        <f>MIN(AR$5,X130+AH131)</f>
        <v>0.0</v>
      </c>
      <c r="AS131" s="31">
        <f>MIN(AS$5,Y130+AI131)</f>
        <v>0.0</v>
      </c>
      <c r="AT131" s="31">
        <f>MIN(AT$5,Z130+AJ131)</f>
        <v>0.0</v>
      </c>
      <c r="AU131" s="31">
        <f>MIN(AU$5,AA130+AK131)</f>
        <v>0.0</v>
      </c>
    </row>
    <row r="132">
      <c r="A132" s="25" t="str">
        <f>IF(F131&gt;0.005,127,"")</f>
        <v/>
      </c>
      <c r="B132" s="33" t="str">
        <f>IF(A132="","",EDATE(Долги!$D$5,126))</f>
        <v/>
      </c>
      <c r="C132" s="31">
        <f>SUM(H132:Q132)</f>
        <v>0.0</v>
      </c>
      <c r="D132" s="31">
        <f>SUM(AB132:AK132)</f>
        <v>0.0</v>
      </c>
      <c r="E132" s="31">
        <f>C132-D132</f>
        <v>0.0</v>
      </c>
      <c r="F132" s="31">
        <f>SUM(R132:AA132)</f>
        <v>0.0</v>
      </c>
      <c r="G132" s="34" t="str">
        <f>IF(OR(A132="",$F$5&lt;=0),"",REPT("█",ROUND(20*F132/$F$5,0)))</f>
        <v/>
      </c>
      <c r="H132" s="31">
        <f>AL132+MIN(R131+AB132-AL132,MAX(0,ROUND(Долги!$D$19-SUM($AL132:$AU132),2)))</f>
        <v>0.0</v>
      </c>
      <c r="I132" s="31">
        <f>AM132+MIN(S131+AC132-AM132,MAX(0,ROUND(ROUND(Долги!$D$19-SUM($AL132:$AU132),2)-(SUM($H132:H132)-SUM($AL132:AL132)),2)))</f>
        <v>0.0</v>
      </c>
      <c r="J132" s="31">
        <f>AN132+MIN(T131+AD132-AN132,MAX(0,ROUND(ROUND(Долги!$D$19-SUM($AL132:$AU132),2)-(SUM($H132:I132)-SUM($AL132:AM132)),2)))</f>
        <v>0.0</v>
      </c>
      <c r="K132" s="31">
        <f>AO132+MIN(U131+AE132-AO132,MAX(0,ROUND(ROUND(Долги!$D$19-SUM($AL132:$AU132),2)-(SUM($H132:J132)-SUM($AL132:AN132)),2)))</f>
        <v>0.0</v>
      </c>
      <c r="L132" s="31">
        <f>AP132+MIN(V131+AF132-AP132,MAX(0,ROUND(ROUND(Долги!$D$19-SUM($AL132:$AU132),2)-(SUM($H132:K132)-SUM($AL132:AO132)),2)))</f>
        <v>0.0</v>
      </c>
      <c r="M132" s="31">
        <f>AQ132+MIN(W131+AG132-AQ132,MAX(0,ROUND(ROUND(Долги!$D$19-SUM($AL132:$AU132),2)-(SUM($H132:L132)-SUM($AL132:AP132)),2)))</f>
        <v>0.0</v>
      </c>
      <c r="N132" s="31">
        <f>AR132+MIN(X131+AH132-AR132,MAX(0,ROUND(ROUND(Долги!$D$19-SUM($AL132:$AU132),2)-(SUM($H132:M132)-SUM($AL132:AQ132)),2)))</f>
        <v>0.0</v>
      </c>
      <c r="O132" s="31">
        <f>AS132+MIN(Y131+AI132-AS132,MAX(0,ROUND(ROUND(Долги!$D$19-SUM($AL132:$AU132),2)-(SUM($H132:N132)-SUM($AL132:AR132)),2)))</f>
        <v>0.0</v>
      </c>
      <c r="P132" s="31">
        <f>AT132+MIN(Z131+AJ132-AT132,MAX(0,ROUND(ROUND(Долги!$D$19-SUM($AL132:$AU132),2)-(SUM($H132:O132)-SUM($AL132:AS132)),2)))</f>
        <v>0.0</v>
      </c>
      <c r="Q132" s="31">
        <f>AU132+MIN(AA131+AK132-AU132,MAX(0,ROUND(ROUND(Долги!$D$19-SUM($AL132:$AU132),2)-(SUM($H132:P132)-SUM($AL132:AT132)),2)))</f>
        <v>0.0</v>
      </c>
      <c r="R132" s="31">
        <f>IF(R131+AB132-H132&lt;=0.01,0,ROUND(R131+AB132-H132,2))</f>
        <v>0.0</v>
      </c>
      <c r="S132" s="31">
        <f>IF(S131+AC132-I132&lt;=0.01,0,ROUND(S131+AC132-I132,2))</f>
        <v>0.0</v>
      </c>
      <c r="T132" s="31">
        <f>IF(T131+AD132-J132&lt;=0.01,0,ROUND(T131+AD132-J132,2))</f>
        <v>0.0</v>
      </c>
      <c r="U132" s="31">
        <f>IF(U131+AE132-K132&lt;=0.01,0,ROUND(U131+AE132-K132,2))</f>
        <v>0.0</v>
      </c>
      <c r="V132" s="31">
        <f>IF(V131+AF132-L132&lt;=0.01,0,ROUND(V131+AF132-L132,2))</f>
        <v>0.0</v>
      </c>
      <c r="W132" s="31">
        <f>IF(W131+AG132-M132&lt;=0.01,0,ROUND(W131+AG132-M132,2))</f>
        <v>0.0</v>
      </c>
      <c r="X132" s="31">
        <f>IF(X131+AH132-N132&lt;=0.01,0,ROUND(X131+AH132-N132,2))</f>
        <v>0.0</v>
      </c>
      <c r="Y132" s="31">
        <f>IF(Y131+AI132-O132&lt;=0.01,0,ROUND(Y131+AI132-O132,2))</f>
        <v>0.0</v>
      </c>
      <c r="Z132" s="31">
        <f>IF(Z131+AJ132-P132&lt;=0.01,0,ROUND(Z131+AJ132-P132,2))</f>
        <v>0.0</v>
      </c>
      <c r="AA132" s="31">
        <f>IF(AA131+AK132-Q132&lt;=0.01,0,ROUND(AA131+AK132-Q132,2))</f>
        <v>0.0</v>
      </c>
      <c r="AB132" s="31">
        <f>ROUND(R131*AB$5/1200,2)</f>
        <v>0.0</v>
      </c>
      <c r="AC132" s="31">
        <f>ROUND(S131*AC$5/1200,2)</f>
        <v>0.0</v>
      </c>
      <c r="AD132" s="31">
        <f>ROUND(T131*AD$5/1200,2)</f>
        <v>0.0</v>
      </c>
      <c r="AE132" s="31">
        <f>ROUND(U131*AE$5/1200,2)</f>
        <v>0.0</v>
      </c>
      <c r="AF132" s="31">
        <f>ROUND(V131*AF$5/1200,2)</f>
        <v>0.0</v>
      </c>
      <c r="AG132" s="31">
        <f>ROUND(W131*AG$5/1200,2)</f>
        <v>0.0</v>
      </c>
      <c r="AH132" s="31">
        <f>ROUND(X131*AH$5/1200,2)</f>
        <v>0.0</v>
      </c>
      <c r="AI132" s="31">
        <f>ROUND(Y131*AI$5/1200,2)</f>
        <v>0.0</v>
      </c>
      <c r="AJ132" s="31">
        <f>ROUND(Z131*AJ$5/1200,2)</f>
        <v>0.0</v>
      </c>
      <c r="AK132" s="31">
        <f>ROUND(AA131*AK$5/1200,2)</f>
        <v>0.0</v>
      </c>
      <c r="AL132" s="31">
        <f>MIN(AL$5,R131+AB132)</f>
        <v>0.0</v>
      </c>
      <c r="AM132" s="31">
        <f>MIN(AM$5,S131+AC132)</f>
        <v>0.0</v>
      </c>
      <c r="AN132" s="31">
        <f>MIN(AN$5,T131+AD132)</f>
        <v>0.0</v>
      </c>
      <c r="AO132" s="31">
        <f>MIN(AO$5,U131+AE132)</f>
        <v>0.0</v>
      </c>
      <c r="AP132" s="31">
        <f>MIN(AP$5,V131+AF132)</f>
        <v>0.0</v>
      </c>
      <c r="AQ132" s="31">
        <f>MIN(AQ$5,W131+AG132)</f>
        <v>0.0</v>
      </c>
      <c r="AR132" s="31">
        <f>MIN(AR$5,X131+AH132)</f>
        <v>0.0</v>
      </c>
      <c r="AS132" s="31">
        <f>MIN(AS$5,Y131+AI132)</f>
        <v>0.0</v>
      </c>
      <c r="AT132" s="31">
        <f>MIN(AT$5,Z131+AJ132)</f>
        <v>0.0</v>
      </c>
      <c r="AU132" s="31">
        <f>MIN(AU$5,AA131+AK132)</f>
        <v>0.0</v>
      </c>
    </row>
    <row r="133">
      <c r="A133" s="25" t="str">
        <f>IF(F132&gt;0.005,128,"")</f>
        <v/>
      </c>
      <c r="B133" s="33" t="str">
        <f>IF(A133="","",EDATE(Долги!$D$5,127))</f>
        <v/>
      </c>
      <c r="C133" s="31">
        <f>SUM(H133:Q133)</f>
        <v>0.0</v>
      </c>
      <c r="D133" s="31">
        <f>SUM(AB133:AK133)</f>
        <v>0.0</v>
      </c>
      <c r="E133" s="31">
        <f>C133-D133</f>
        <v>0.0</v>
      </c>
      <c r="F133" s="31">
        <f>SUM(R133:AA133)</f>
        <v>0.0</v>
      </c>
      <c r="G133" s="34" t="str">
        <f>IF(OR(A133="",$F$5&lt;=0),"",REPT("█",ROUND(20*F133/$F$5,0)))</f>
        <v/>
      </c>
      <c r="H133" s="31">
        <f>AL133+MIN(R132+AB133-AL133,MAX(0,ROUND(Долги!$D$19-SUM($AL133:$AU133),2)))</f>
        <v>0.0</v>
      </c>
      <c r="I133" s="31">
        <f>AM133+MIN(S132+AC133-AM133,MAX(0,ROUND(ROUND(Долги!$D$19-SUM($AL133:$AU133),2)-(SUM($H133:H133)-SUM($AL133:AL133)),2)))</f>
        <v>0.0</v>
      </c>
      <c r="J133" s="31">
        <f>AN133+MIN(T132+AD133-AN133,MAX(0,ROUND(ROUND(Долги!$D$19-SUM($AL133:$AU133),2)-(SUM($H133:I133)-SUM($AL133:AM133)),2)))</f>
        <v>0.0</v>
      </c>
      <c r="K133" s="31">
        <f>AO133+MIN(U132+AE133-AO133,MAX(0,ROUND(ROUND(Долги!$D$19-SUM($AL133:$AU133),2)-(SUM($H133:J133)-SUM($AL133:AN133)),2)))</f>
        <v>0.0</v>
      </c>
      <c r="L133" s="31">
        <f>AP133+MIN(V132+AF133-AP133,MAX(0,ROUND(ROUND(Долги!$D$19-SUM($AL133:$AU133),2)-(SUM($H133:K133)-SUM($AL133:AO133)),2)))</f>
        <v>0.0</v>
      </c>
      <c r="M133" s="31">
        <f>AQ133+MIN(W132+AG133-AQ133,MAX(0,ROUND(ROUND(Долги!$D$19-SUM($AL133:$AU133),2)-(SUM($H133:L133)-SUM($AL133:AP133)),2)))</f>
        <v>0.0</v>
      </c>
      <c r="N133" s="31">
        <f>AR133+MIN(X132+AH133-AR133,MAX(0,ROUND(ROUND(Долги!$D$19-SUM($AL133:$AU133),2)-(SUM($H133:M133)-SUM($AL133:AQ133)),2)))</f>
        <v>0.0</v>
      </c>
      <c r="O133" s="31">
        <f>AS133+MIN(Y132+AI133-AS133,MAX(0,ROUND(ROUND(Долги!$D$19-SUM($AL133:$AU133),2)-(SUM($H133:N133)-SUM($AL133:AR133)),2)))</f>
        <v>0.0</v>
      </c>
      <c r="P133" s="31">
        <f>AT133+MIN(Z132+AJ133-AT133,MAX(0,ROUND(ROUND(Долги!$D$19-SUM($AL133:$AU133),2)-(SUM($H133:O133)-SUM($AL133:AS133)),2)))</f>
        <v>0.0</v>
      </c>
      <c r="Q133" s="31">
        <f>AU133+MIN(AA132+AK133-AU133,MAX(0,ROUND(ROUND(Долги!$D$19-SUM($AL133:$AU133),2)-(SUM($H133:P133)-SUM($AL133:AT133)),2)))</f>
        <v>0.0</v>
      </c>
      <c r="R133" s="31">
        <f>IF(R132+AB133-H133&lt;=0.01,0,ROUND(R132+AB133-H133,2))</f>
        <v>0.0</v>
      </c>
      <c r="S133" s="31">
        <f>IF(S132+AC133-I133&lt;=0.01,0,ROUND(S132+AC133-I133,2))</f>
        <v>0.0</v>
      </c>
      <c r="T133" s="31">
        <f>IF(T132+AD133-J133&lt;=0.01,0,ROUND(T132+AD133-J133,2))</f>
        <v>0.0</v>
      </c>
      <c r="U133" s="31">
        <f>IF(U132+AE133-K133&lt;=0.01,0,ROUND(U132+AE133-K133,2))</f>
        <v>0.0</v>
      </c>
      <c r="V133" s="31">
        <f>IF(V132+AF133-L133&lt;=0.01,0,ROUND(V132+AF133-L133,2))</f>
        <v>0.0</v>
      </c>
      <c r="W133" s="31">
        <f>IF(W132+AG133-M133&lt;=0.01,0,ROUND(W132+AG133-M133,2))</f>
        <v>0.0</v>
      </c>
      <c r="X133" s="31">
        <f>IF(X132+AH133-N133&lt;=0.01,0,ROUND(X132+AH133-N133,2))</f>
        <v>0.0</v>
      </c>
      <c r="Y133" s="31">
        <f>IF(Y132+AI133-O133&lt;=0.01,0,ROUND(Y132+AI133-O133,2))</f>
        <v>0.0</v>
      </c>
      <c r="Z133" s="31">
        <f>IF(Z132+AJ133-P133&lt;=0.01,0,ROUND(Z132+AJ133-P133,2))</f>
        <v>0.0</v>
      </c>
      <c r="AA133" s="31">
        <f>IF(AA132+AK133-Q133&lt;=0.01,0,ROUND(AA132+AK133-Q133,2))</f>
        <v>0.0</v>
      </c>
      <c r="AB133" s="31">
        <f>ROUND(R132*AB$5/1200,2)</f>
        <v>0.0</v>
      </c>
      <c r="AC133" s="31">
        <f>ROUND(S132*AC$5/1200,2)</f>
        <v>0.0</v>
      </c>
      <c r="AD133" s="31">
        <f>ROUND(T132*AD$5/1200,2)</f>
        <v>0.0</v>
      </c>
      <c r="AE133" s="31">
        <f>ROUND(U132*AE$5/1200,2)</f>
        <v>0.0</v>
      </c>
      <c r="AF133" s="31">
        <f>ROUND(V132*AF$5/1200,2)</f>
        <v>0.0</v>
      </c>
      <c r="AG133" s="31">
        <f>ROUND(W132*AG$5/1200,2)</f>
        <v>0.0</v>
      </c>
      <c r="AH133" s="31">
        <f>ROUND(X132*AH$5/1200,2)</f>
        <v>0.0</v>
      </c>
      <c r="AI133" s="31">
        <f>ROUND(Y132*AI$5/1200,2)</f>
        <v>0.0</v>
      </c>
      <c r="AJ133" s="31">
        <f>ROUND(Z132*AJ$5/1200,2)</f>
        <v>0.0</v>
      </c>
      <c r="AK133" s="31">
        <f>ROUND(AA132*AK$5/1200,2)</f>
        <v>0.0</v>
      </c>
      <c r="AL133" s="31">
        <f>MIN(AL$5,R132+AB133)</f>
        <v>0.0</v>
      </c>
      <c r="AM133" s="31">
        <f>MIN(AM$5,S132+AC133)</f>
        <v>0.0</v>
      </c>
      <c r="AN133" s="31">
        <f>MIN(AN$5,T132+AD133)</f>
        <v>0.0</v>
      </c>
      <c r="AO133" s="31">
        <f>MIN(AO$5,U132+AE133)</f>
        <v>0.0</v>
      </c>
      <c r="AP133" s="31">
        <f>MIN(AP$5,V132+AF133)</f>
        <v>0.0</v>
      </c>
      <c r="AQ133" s="31">
        <f>MIN(AQ$5,W132+AG133)</f>
        <v>0.0</v>
      </c>
      <c r="AR133" s="31">
        <f>MIN(AR$5,X132+AH133)</f>
        <v>0.0</v>
      </c>
      <c r="AS133" s="31">
        <f>MIN(AS$5,Y132+AI133)</f>
        <v>0.0</v>
      </c>
      <c r="AT133" s="31">
        <f>MIN(AT$5,Z132+AJ133)</f>
        <v>0.0</v>
      </c>
      <c r="AU133" s="31">
        <f>MIN(AU$5,AA132+AK133)</f>
        <v>0.0</v>
      </c>
    </row>
    <row r="134">
      <c r="A134" s="25" t="str">
        <f>IF(F133&gt;0.005,129,"")</f>
        <v/>
      </c>
      <c r="B134" s="33" t="str">
        <f>IF(A134="","",EDATE(Долги!$D$5,128))</f>
        <v/>
      </c>
      <c r="C134" s="31">
        <f>SUM(H134:Q134)</f>
        <v>0.0</v>
      </c>
      <c r="D134" s="31">
        <f>SUM(AB134:AK134)</f>
        <v>0.0</v>
      </c>
      <c r="E134" s="31">
        <f>C134-D134</f>
        <v>0.0</v>
      </c>
      <c r="F134" s="31">
        <f>SUM(R134:AA134)</f>
        <v>0.0</v>
      </c>
      <c r="G134" s="34" t="str">
        <f>IF(OR(A134="",$F$5&lt;=0),"",REPT("█",ROUND(20*F134/$F$5,0)))</f>
        <v/>
      </c>
      <c r="H134" s="31">
        <f>AL134+MIN(R133+AB134-AL134,MAX(0,ROUND(Долги!$D$19-SUM($AL134:$AU134),2)))</f>
        <v>0.0</v>
      </c>
      <c r="I134" s="31">
        <f>AM134+MIN(S133+AC134-AM134,MAX(0,ROUND(ROUND(Долги!$D$19-SUM($AL134:$AU134),2)-(SUM($H134:H134)-SUM($AL134:AL134)),2)))</f>
        <v>0.0</v>
      </c>
      <c r="J134" s="31">
        <f>AN134+MIN(T133+AD134-AN134,MAX(0,ROUND(ROUND(Долги!$D$19-SUM($AL134:$AU134),2)-(SUM($H134:I134)-SUM($AL134:AM134)),2)))</f>
        <v>0.0</v>
      </c>
      <c r="K134" s="31">
        <f>AO134+MIN(U133+AE134-AO134,MAX(0,ROUND(ROUND(Долги!$D$19-SUM($AL134:$AU134),2)-(SUM($H134:J134)-SUM($AL134:AN134)),2)))</f>
        <v>0.0</v>
      </c>
      <c r="L134" s="31">
        <f>AP134+MIN(V133+AF134-AP134,MAX(0,ROUND(ROUND(Долги!$D$19-SUM($AL134:$AU134),2)-(SUM($H134:K134)-SUM($AL134:AO134)),2)))</f>
        <v>0.0</v>
      </c>
      <c r="M134" s="31">
        <f>AQ134+MIN(W133+AG134-AQ134,MAX(0,ROUND(ROUND(Долги!$D$19-SUM($AL134:$AU134),2)-(SUM($H134:L134)-SUM($AL134:AP134)),2)))</f>
        <v>0.0</v>
      </c>
      <c r="N134" s="31">
        <f>AR134+MIN(X133+AH134-AR134,MAX(0,ROUND(ROUND(Долги!$D$19-SUM($AL134:$AU134),2)-(SUM($H134:M134)-SUM($AL134:AQ134)),2)))</f>
        <v>0.0</v>
      </c>
      <c r="O134" s="31">
        <f>AS134+MIN(Y133+AI134-AS134,MAX(0,ROUND(ROUND(Долги!$D$19-SUM($AL134:$AU134),2)-(SUM($H134:N134)-SUM($AL134:AR134)),2)))</f>
        <v>0.0</v>
      </c>
      <c r="P134" s="31">
        <f>AT134+MIN(Z133+AJ134-AT134,MAX(0,ROUND(ROUND(Долги!$D$19-SUM($AL134:$AU134),2)-(SUM($H134:O134)-SUM($AL134:AS134)),2)))</f>
        <v>0.0</v>
      </c>
      <c r="Q134" s="31">
        <f>AU134+MIN(AA133+AK134-AU134,MAX(0,ROUND(ROUND(Долги!$D$19-SUM($AL134:$AU134),2)-(SUM($H134:P134)-SUM($AL134:AT134)),2)))</f>
        <v>0.0</v>
      </c>
      <c r="R134" s="31">
        <f>IF(R133+AB134-H134&lt;=0.01,0,ROUND(R133+AB134-H134,2))</f>
        <v>0.0</v>
      </c>
      <c r="S134" s="31">
        <f>IF(S133+AC134-I134&lt;=0.01,0,ROUND(S133+AC134-I134,2))</f>
        <v>0.0</v>
      </c>
      <c r="T134" s="31">
        <f>IF(T133+AD134-J134&lt;=0.01,0,ROUND(T133+AD134-J134,2))</f>
        <v>0.0</v>
      </c>
      <c r="U134" s="31">
        <f>IF(U133+AE134-K134&lt;=0.01,0,ROUND(U133+AE134-K134,2))</f>
        <v>0.0</v>
      </c>
      <c r="V134" s="31">
        <f>IF(V133+AF134-L134&lt;=0.01,0,ROUND(V133+AF134-L134,2))</f>
        <v>0.0</v>
      </c>
      <c r="W134" s="31">
        <f>IF(W133+AG134-M134&lt;=0.01,0,ROUND(W133+AG134-M134,2))</f>
        <v>0.0</v>
      </c>
      <c r="X134" s="31">
        <f>IF(X133+AH134-N134&lt;=0.01,0,ROUND(X133+AH134-N134,2))</f>
        <v>0.0</v>
      </c>
      <c r="Y134" s="31">
        <f>IF(Y133+AI134-O134&lt;=0.01,0,ROUND(Y133+AI134-O134,2))</f>
        <v>0.0</v>
      </c>
      <c r="Z134" s="31">
        <f>IF(Z133+AJ134-P134&lt;=0.01,0,ROUND(Z133+AJ134-P134,2))</f>
        <v>0.0</v>
      </c>
      <c r="AA134" s="31">
        <f>IF(AA133+AK134-Q134&lt;=0.01,0,ROUND(AA133+AK134-Q134,2))</f>
        <v>0.0</v>
      </c>
      <c r="AB134" s="31">
        <f>ROUND(R133*AB$5/1200,2)</f>
        <v>0.0</v>
      </c>
      <c r="AC134" s="31">
        <f>ROUND(S133*AC$5/1200,2)</f>
        <v>0.0</v>
      </c>
      <c r="AD134" s="31">
        <f>ROUND(T133*AD$5/1200,2)</f>
        <v>0.0</v>
      </c>
      <c r="AE134" s="31">
        <f>ROUND(U133*AE$5/1200,2)</f>
        <v>0.0</v>
      </c>
      <c r="AF134" s="31">
        <f>ROUND(V133*AF$5/1200,2)</f>
        <v>0.0</v>
      </c>
      <c r="AG134" s="31">
        <f>ROUND(W133*AG$5/1200,2)</f>
        <v>0.0</v>
      </c>
      <c r="AH134" s="31">
        <f>ROUND(X133*AH$5/1200,2)</f>
        <v>0.0</v>
      </c>
      <c r="AI134" s="31">
        <f>ROUND(Y133*AI$5/1200,2)</f>
        <v>0.0</v>
      </c>
      <c r="AJ134" s="31">
        <f>ROUND(Z133*AJ$5/1200,2)</f>
        <v>0.0</v>
      </c>
      <c r="AK134" s="31">
        <f>ROUND(AA133*AK$5/1200,2)</f>
        <v>0.0</v>
      </c>
      <c r="AL134" s="31">
        <f>MIN(AL$5,R133+AB134)</f>
        <v>0.0</v>
      </c>
      <c r="AM134" s="31">
        <f>MIN(AM$5,S133+AC134)</f>
        <v>0.0</v>
      </c>
      <c r="AN134" s="31">
        <f>MIN(AN$5,T133+AD134)</f>
        <v>0.0</v>
      </c>
      <c r="AO134" s="31">
        <f>MIN(AO$5,U133+AE134)</f>
        <v>0.0</v>
      </c>
      <c r="AP134" s="31">
        <f>MIN(AP$5,V133+AF134)</f>
        <v>0.0</v>
      </c>
      <c r="AQ134" s="31">
        <f>MIN(AQ$5,W133+AG134)</f>
        <v>0.0</v>
      </c>
      <c r="AR134" s="31">
        <f>MIN(AR$5,X133+AH134)</f>
        <v>0.0</v>
      </c>
      <c r="AS134" s="31">
        <f>MIN(AS$5,Y133+AI134)</f>
        <v>0.0</v>
      </c>
      <c r="AT134" s="31">
        <f>MIN(AT$5,Z133+AJ134)</f>
        <v>0.0</v>
      </c>
      <c r="AU134" s="31">
        <f>MIN(AU$5,AA133+AK134)</f>
        <v>0.0</v>
      </c>
    </row>
    <row r="135">
      <c r="A135" s="25" t="str">
        <f>IF(F134&gt;0.005,130,"")</f>
        <v/>
      </c>
      <c r="B135" s="33" t="str">
        <f>IF(A135="","",EDATE(Долги!$D$5,129))</f>
        <v/>
      </c>
      <c r="C135" s="31">
        <f>SUM(H135:Q135)</f>
        <v>0.0</v>
      </c>
      <c r="D135" s="31">
        <f>SUM(AB135:AK135)</f>
        <v>0.0</v>
      </c>
      <c r="E135" s="31">
        <f>C135-D135</f>
        <v>0.0</v>
      </c>
      <c r="F135" s="31">
        <f>SUM(R135:AA135)</f>
        <v>0.0</v>
      </c>
      <c r="G135" s="34" t="str">
        <f>IF(OR(A135="",$F$5&lt;=0),"",REPT("█",ROUND(20*F135/$F$5,0)))</f>
        <v/>
      </c>
      <c r="H135" s="31">
        <f>AL135+MIN(R134+AB135-AL135,MAX(0,ROUND(Долги!$D$19-SUM($AL135:$AU135),2)))</f>
        <v>0.0</v>
      </c>
      <c r="I135" s="31">
        <f>AM135+MIN(S134+AC135-AM135,MAX(0,ROUND(ROUND(Долги!$D$19-SUM($AL135:$AU135),2)-(SUM($H135:H135)-SUM($AL135:AL135)),2)))</f>
        <v>0.0</v>
      </c>
      <c r="J135" s="31">
        <f>AN135+MIN(T134+AD135-AN135,MAX(0,ROUND(ROUND(Долги!$D$19-SUM($AL135:$AU135),2)-(SUM($H135:I135)-SUM($AL135:AM135)),2)))</f>
        <v>0.0</v>
      </c>
      <c r="K135" s="31">
        <f>AO135+MIN(U134+AE135-AO135,MAX(0,ROUND(ROUND(Долги!$D$19-SUM($AL135:$AU135),2)-(SUM($H135:J135)-SUM($AL135:AN135)),2)))</f>
        <v>0.0</v>
      </c>
      <c r="L135" s="31">
        <f>AP135+MIN(V134+AF135-AP135,MAX(0,ROUND(ROUND(Долги!$D$19-SUM($AL135:$AU135),2)-(SUM($H135:K135)-SUM($AL135:AO135)),2)))</f>
        <v>0.0</v>
      </c>
      <c r="M135" s="31">
        <f>AQ135+MIN(W134+AG135-AQ135,MAX(0,ROUND(ROUND(Долги!$D$19-SUM($AL135:$AU135),2)-(SUM($H135:L135)-SUM($AL135:AP135)),2)))</f>
        <v>0.0</v>
      </c>
      <c r="N135" s="31">
        <f>AR135+MIN(X134+AH135-AR135,MAX(0,ROUND(ROUND(Долги!$D$19-SUM($AL135:$AU135),2)-(SUM($H135:M135)-SUM($AL135:AQ135)),2)))</f>
        <v>0.0</v>
      </c>
      <c r="O135" s="31">
        <f>AS135+MIN(Y134+AI135-AS135,MAX(0,ROUND(ROUND(Долги!$D$19-SUM($AL135:$AU135),2)-(SUM($H135:N135)-SUM($AL135:AR135)),2)))</f>
        <v>0.0</v>
      </c>
      <c r="P135" s="31">
        <f>AT135+MIN(Z134+AJ135-AT135,MAX(0,ROUND(ROUND(Долги!$D$19-SUM($AL135:$AU135),2)-(SUM($H135:O135)-SUM($AL135:AS135)),2)))</f>
        <v>0.0</v>
      </c>
      <c r="Q135" s="31">
        <f>AU135+MIN(AA134+AK135-AU135,MAX(0,ROUND(ROUND(Долги!$D$19-SUM($AL135:$AU135),2)-(SUM($H135:P135)-SUM($AL135:AT135)),2)))</f>
        <v>0.0</v>
      </c>
      <c r="R135" s="31">
        <f>IF(R134+AB135-H135&lt;=0.01,0,ROUND(R134+AB135-H135,2))</f>
        <v>0.0</v>
      </c>
      <c r="S135" s="31">
        <f>IF(S134+AC135-I135&lt;=0.01,0,ROUND(S134+AC135-I135,2))</f>
        <v>0.0</v>
      </c>
      <c r="T135" s="31">
        <f>IF(T134+AD135-J135&lt;=0.01,0,ROUND(T134+AD135-J135,2))</f>
        <v>0.0</v>
      </c>
      <c r="U135" s="31">
        <f>IF(U134+AE135-K135&lt;=0.01,0,ROUND(U134+AE135-K135,2))</f>
        <v>0.0</v>
      </c>
      <c r="V135" s="31">
        <f>IF(V134+AF135-L135&lt;=0.01,0,ROUND(V134+AF135-L135,2))</f>
        <v>0.0</v>
      </c>
      <c r="W135" s="31">
        <f>IF(W134+AG135-M135&lt;=0.01,0,ROUND(W134+AG135-M135,2))</f>
        <v>0.0</v>
      </c>
      <c r="X135" s="31">
        <f>IF(X134+AH135-N135&lt;=0.01,0,ROUND(X134+AH135-N135,2))</f>
        <v>0.0</v>
      </c>
      <c r="Y135" s="31">
        <f>IF(Y134+AI135-O135&lt;=0.01,0,ROUND(Y134+AI135-O135,2))</f>
        <v>0.0</v>
      </c>
      <c r="Z135" s="31">
        <f>IF(Z134+AJ135-P135&lt;=0.01,0,ROUND(Z134+AJ135-P135,2))</f>
        <v>0.0</v>
      </c>
      <c r="AA135" s="31">
        <f>IF(AA134+AK135-Q135&lt;=0.01,0,ROUND(AA134+AK135-Q135,2))</f>
        <v>0.0</v>
      </c>
      <c r="AB135" s="31">
        <f>ROUND(R134*AB$5/1200,2)</f>
        <v>0.0</v>
      </c>
      <c r="AC135" s="31">
        <f>ROUND(S134*AC$5/1200,2)</f>
        <v>0.0</v>
      </c>
      <c r="AD135" s="31">
        <f>ROUND(T134*AD$5/1200,2)</f>
        <v>0.0</v>
      </c>
      <c r="AE135" s="31">
        <f>ROUND(U134*AE$5/1200,2)</f>
        <v>0.0</v>
      </c>
      <c r="AF135" s="31">
        <f>ROUND(V134*AF$5/1200,2)</f>
        <v>0.0</v>
      </c>
      <c r="AG135" s="31">
        <f>ROUND(W134*AG$5/1200,2)</f>
        <v>0.0</v>
      </c>
      <c r="AH135" s="31">
        <f>ROUND(X134*AH$5/1200,2)</f>
        <v>0.0</v>
      </c>
      <c r="AI135" s="31">
        <f>ROUND(Y134*AI$5/1200,2)</f>
        <v>0.0</v>
      </c>
      <c r="AJ135" s="31">
        <f>ROUND(Z134*AJ$5/1200,2)</f>
        <v>0.0</v>
      </c>
      <c r="AK135" s="31">
        <f>ROUND(AA134*AK$5/1200,2)</f>
        <v>0.0</v>
      </c>
      <c r="AL135" s="31">
        <f>MIN(AL$5,R134+AB135)</f>
        <v>0.0</v>
      </c>
      <c r="AM135" s="31">
        <f>MIN(AM$5,S134+AC135)</f>
        <v>0.0</v>
      </c>
      <c r="AN135" s="31">
        <f>MIN(AN$5,T134+AD135)</f>
        <v>0.0</v>
      </c>
      <c r="AO135" s="31">
        <f>MIN(AO$5,U134+AE135)</f>
        <v>0.0</v>
      </c>
      <c r="AP135" s="31">
        <f>MIN(AP$5,V134+AF135)</f>
        <v>0.0</v>
      </c>
      <c r="AQ135" s="31">
        <f>MIN(AQ$5,W134+AG135)</f>
        <v>0.0</v>
      </c>
      <c r="AR135" s="31">
        <f>MIN(AR$5,X134+AH135)</f>
        <v>0.0</v>
      </c>
      <c r="AS135" s="31">
        <f>MIN(AS$5,Y134+AI135)</f>
        <v>0.0</v>
      </c>
      <c r="AT135" s="31">
        <f>MIN(AT$5,Z134+AJ135)</f>
        <v>0.0</v>
      </c>
      <c r="AU135" s="31">
        <f>MIN(AU$5,AA134+AK135)</f>
        <v>0.0</v>
      </c>
    </row>
    <row r="136">
      <c r="A136" s="25" t="str">
        <f>IF(F135&gt;0.005,131,"")</f>
        <v/>
      </c>
      <c r="B136" s="33" t="str">
        <f>IF(A136="","",EDATE(Долги!$D$5,130))</f>
        <v/>
      </c>
      <c r="C136" s="31">
        <f>SUM(H136:Q136)</f>
        <v>0.0</v>
      </c>
      <c r="D136" s="31">
        <f>SUM(AB136:AK136)</f>
        <v>0.0</v>
      </c>
      <c r="E136" s="31">
        <f>C136-D136</f>
        <v>0.0</v>
      </c>
      <c r="F136" s="31">
        <f>SUM(R136:AA136)</f>
        <v>0.0</v>
      </c>
      <c r="G136" s="34" t="str">
        <f>IF(OR(A136="",$F$5&lt;=0),"",REPT("█",ROUND(20*F136/$F$5,0)))</f>
        <v/>
      </c>
      <c r="H136" s="31">
        <f>AL136+MIN(R135+AB136-AL136,MAX(0,ROUND(Долги!$D$19-SUM($AL136:$AU136),2)))</f>
        <v>0.0</v>
      </c>
      <c r="I136" s="31">
        <f>AM136+MIN(S135+AC136-AM136,MAX(0,ROUND(ROUND(Долги!$D$19-SUM($AL136:$AU136),2)-(SUM($H136:H136)-SUM($AL136:AL136)),2)))</f>
        <v>0.0</v>
      </c>
      <c r="J136" s="31">
        <f>AN136+MIN(T135+AD136-AN136,MAX(0,ROUND(ROUND(Долги!$D$19-SUM($AL136:$AU136),2)-(SUM($H136:I136)-SUM($AL136:AM136)),2)))</f>
        <v>0.0</v>
      </c>
      <c r="K136" s="31">
        <f>AO136+MIN(U135+AE136-AO136,MAX(0,ROUND(ROUND(Долги!$D$19-SUM($AL136:$AU136),2)-(SUM($H136:J136)-SUM($AL136:AN136)),2)))</f>
        <v>0.0</v>
      </c>
      <c r="L136" s="31">
        <f>AP136+MIN(V135+AF136-AP136,MAX(0,ROUND(ROUND(Долги!$D$19-SUM($AL136:$AU136),2)-(SUM($H136:K136)-SUM($AL136:AO136)),2)))</f>
        <v>0.0</v>
      </c>
      <c r="M136" s="31">
        <f>AQ136+MIN(W135+AG136-AQ136,MAX(0,ROUND(ROUND(Долги!$D$19-SUM($AL136:$AU136),2)-(SUM($H136:L136)-SUM($AL136:AP136)),2)))</f>
        <v>0.0</v>
      </c>
      <c r="N136" s="31">
        <f>AR136+MIN(X135+AH136-AR136,MAX(0,ROUND(ROUND(Долги!$D$19-SUM($AL136:$AU136),2)-(SUM($H136:M136)-SUM($AL136:AQ136)),2)))</f>
        <v>0.0</v>
      </c>
      <c r="O136" s="31">
        <f>AS136+MIN(Y135+AI136-AS136,MAX(0,ROUND(ROUND(Долги!$D$19-SUM($AL136:$AU136),2)-(SUM($H136:N136)-SUM($AL136:AR136)),2)))</f>
        <v>0.0</v>
      </c>
      <c r="P136" s="31">
        <f>AT136+MIN(Z135+AJ136-AT136,MAX(0,ROUND(ROUND(Долги!$D$19-SUM($AL136:$AU136),2)-(SUM($H136:O136)-SUM($AL136:AS136)),2)))</f>
        <v>0.0</v>
      </c>
      <c r="Q136" s="31">
        <f>AU136+MIN(AA135+AK136-AU136,MAX(0,ROUND(ROUND(Долги!$D$19-SUM($AL136:$AU136),2)-(SUM($H136:P136)-SUM($AL136:AT136)),2)))</f>
        <v>0.0</v>
      </c>
      <c r="R136" s="31">
        <f>IF(R135+AB136-H136&lt;=0.01,0,ROUND(R135+AB136-H136,2))</f>
        <v>0.0</v>
      </c>
      <c r="S136" s="31">
        <f>IF(S135+AC136-I136&lt;=0.01,0,ROUND(S135+AC136-I136,2))</f>
        <v>0.0</v>
      </c>
      <c r="T136" s="31">
        <f>IF(T135+AD136-J136&lt;=0.01,0,ROUND(T135+AD136-J136,2))</f>
        <v>0.0</v>
      </c>
      <c r="U136" s="31">
        <f>IF(U135+AE136-K136&lt;=0.01,0,ROUND(U135+AE136-K136,2))</f>
        <v>0.0</v>
      </c>
      <c r="V136" s="31">
        <f>IF(V135+AF136-L136&lt;=0.01,0,ROUND(V135+AF136-L136,2))</f>
        <v>0.0</v>
      </c>
      <c r="W136" s="31">
        <f>IF(W135+AG136-M136&lt;=0.01,0,ROUND(W135+AG136-M136,2))</f>
        <v>0.0</v>
      </c>
      <c r="X136" s="31">
        <f>IF(X135+AH136-N136&lt;=0.01,0,ROUND(X135+AH136-N136,2))</f>
        <v>0.0</v>
      </c>
      <c r="Y136" s="31">
        <f>IF(Y135+AI136-O136&lt;=0.01,0,ROUND(Y135+AI136-O136,2))</f>
        <v>0.0</v>
      </c>
      <c r="Z136" s="31">
        <f>IF(Z135+AJ136-P136&lt;=0.01,0,ROUND(Z135+AJ136-P136,2))</f>
        <v>0.0</v>
      </c>
      <c r="AA136" s="31">
        <f>IF(AA135+AK136-Q136&lt;=0.01,0,ROUND(AA135+AK136-Q136,2))</f>
        <v>0.0</v>
      </c>
      <c r="AB136" s="31">
        <f>ROUND(R135*AB$5/1200,2)</f>
        <v>0.0</v>
      </c>
      <c r="AC136" s="31">
        <f>ROUND(S135*AC$5/1200,2)</f>
        <v>0.0</v>
      </c>
      <c r="AD136" s="31">
        <f>ROUND(T135*AD$5/1200,2)</f>
        <v>0.0</v>
      </c>
      <c r="AE136" s="31">
        <f>ROUND(U135*AE$5/1200,2)</f>
        <v>0.0</v>
      </c>
      <c r="AF136" s="31">
        <f>ROUND(V135*AF$5/1200,2)</f>
        <v>0.0</v>
      </c>
      <c r="AG136" s="31">
        <f>ROUND(W135*AG$5/1200,2)</f>
        <v>0.0</v>
      </c>
      <c r="AH136" s="31">
        <f>ROUND(X135*AH$5/1200,2)</f>
        <v>0.0</v>
      </c>
      <c r="AI136" s="31">
        <f>ROUND(Y135*AI$5/1200,2)</f>
        <v>0.0</v>
      </c>
      <c r="AJ136" s="31">
        <f>ROUND(Z135*AJ$5/1200,2)</f>
        <v>0.0</v>
      </c>
      <c r="AK136" s="31">
        <f>ROUND(AA135*AK$5/1200,2)</f>
        <v>0.0</v>
      </c>
      <c r="AL136" s="31">
        <f>MIN(AL$5,R135+AB136)</f>
        <v>0.0</v>
      </c>
      <c r="AM136" s="31">
        <f>MIN(AM$5,S135+AC136)</f>
        <v>0.0</v>
      </c>
      <c r="AN136" s="31">
        <f>MIN(AN$5,T135+AD136)</f>
        <v>0.0</v>
      </c>
      <c r="AO136" s="31">
        <f>MIN(AO$5,U135+AE136)</f>
        <v>0.0</v>
      </c>
      <c r="AP136" s="31">
        <f>MIN(AP$5,V135+AF136)</f>
        <v>0.0</v>
      </c>
      <c r="AQ136" s="31">
        <f>MIN(AQ$5,W135+AG136)</f>
        <v>0.0</v>
      </c>
      <c r="AR136" s="31">
        <f>MIN(AR$5,X135+AH136)</f>
        <v>0.0</v>
      </c>
      <c r="AS136" s="31">
        <f>MIN(AS$5,Y135+AI136)</f>
        <v>0.0</v>
      </c>
      <c r="AT136" s="31">
        <f>MIN(AT$5,Z135+AJ136)</f>
        <v>0.0</v>
      </c>
      <c r="AU136" s="31">
        <f>MIN(AU$5,AA135+AK136)</f>
        <v>0.0</v>
      </c>
    </row>
    <row r="137">
      <c r="A137" s="25" t="str">
        <f>IF(F136&gt;0.005,132,"")</f>
        <v/>
      </c>
      <c r="B137" s="33" t="str">
        <f>IF(A137="","",EDATE(Долги!$D$5,131))</f>
        <v/>
      </c>
      <c r="C137" s="31">
        <f>SUM(H137:Q137)</f>
        <v>0.0</v>
      </c>
      <c r="D137" s="31">
        <f>SUM(AB137:AK137)</f>
        <v>0.0</v>
      </c>
      <c r="E137" s="31">
        <f>C137-D137</f>
        <v>0.0</v>
      </c>
      <c r="F137" s="31">
        <f>SUM(R137:AA137)</f>
        <v>0.0</v>
      </c>
      <c r="G137" s="34" t="str">
        <f>IF(OR(A137="",$F$5&lt;=0),"",REPT("█",ROUND(20*F137/$F$5,0)))</f>
        <v/>
      </c>
      <c r="H137" s="31">
        <f>AL137+MIN(R136+AB137-AL137,MAX(0,ROUND(Долги!$D$19-SUM($AL137:$AU137),2)))</f>
        <v>0.0</v>
      </c>
      <c r="I137" s="31">
        <f>AM137+MIN(S136+AC137-AM137,MAX(0,ROUND(ROUND(Долги!$D$19-SUM($AL137:$AU137),2)-(SUM($H137:H137)-SUM($AL137:AL137)),2)))</f>
        <v>0.0</v>
      </c>
      <c r="J137" s="31">
        <f>AN137+MIN(T136+AD137-AN137,MAX(0,ROUND(ROUND(Долги!$D$19-SUM($AL137:$AU137),2)-(SUM($H137:I137)-SUM($AL137:AM137)),2)))</f>
        <v>0.0</v>
      </c>
      <c r="K137" s="31">
        <f>AO137+MIN(U136+AE137-AO137,MAX(0,ROUND(ROUND(Долги!$D$19-SUM($AL137:$AU137),2)-(SUM($H137:J137)-SUM($AL137:AN137)),2)))</f>
        <v>0.0</v>
      </c>
      <c r="L137" s="31">
        <f>AP137+MIN(V136+AF137-AP137,MAX(0,ROUND(ROUND(Долги!$D$19-SUM($AL137:$AU137),2)-(SUM($H137:K137)-SUM($AL137:AO137)),2)))</f>
        <v>0.0</v>
      </c>
      <c r="M137" s="31">
        <f>AQ137+MIN(W136+AG137-AQ137,MAX(0,ROUND(ROUND(Долги!$D$19-SUM($AL137:$AU137),2)-(SUM($H137:L137)-SUM($AL137:AP137)),2)))</f>
        <v>0.0</v>
      </c>
      <c r="N137" s="31">
        <f>AR137+MIN(X136+AH137-AR137,MAX(0,ROUND(ROUND(Долги!$D$19-SUM($AL137:$AU137),2)-(SUM($H137:M137)-SUM($AL137:AQ137)),2)))</f>
        <v>0.0</v>
      </c>
      <c r="O137" s="31">
        <f>AS137+MIN(Y136+AI137-AS137,MAX(0,ROUND(ROUND(Долги!$D$19-SUM($AL137:$AU137),2)-(SUM($H137:N137)-SUM($AL137:AR137)),2)))</f>
        <v>0.0</v>
      </c>
      <c r="P137" s="31">
        <f>AT137+MIN(Z136+AJ137-AT137,MAX(0,ROUND(ROUND(Долги!$D$19-SUM($AL137:$AU137),2)-(SUM($H137:O137)-SUM($AL137:AS137)),2)))</f>
        <v>0.0</v>
      </c>
      <c r="Q137" s="31">
        <f>AU137+MIN(AA136+AK137-AU137,MAX(0,ROUND(ROUND(Долги!$D$19-SUM($AL137:$AU137),2)-(SUM($H137:P137)-SUM($AL137:AT137)),2)))</f>
        <v>0.0</v>
      </c>
      <c r="R137" s="31">
        <f>IF(R136+AB137-H137&lt;=0.01,0,ROUND(R136+AB137-H137,2))</f>
        <v>0.0</v>
      </c>
      <c r="S137" s="31">
        <f>IF(S136+AC137-I137&lt;=0.01,0,ROUND(S136+AC137-I137,2))</f>
        <v>0.0</v>
      </c>
      <c r="T137" s="31">
        <f>IF(T136+AD137-J137&lt;=0.01,0,ROUND(T136+AD137-J137,2))</f>
        <v>0.0</v>
      </c>
      <c r="U137" s="31">
        <f>IF(U136+AE137-K137&lt;=0.01,0,ROUND(U136+AE137-K137,2))</f>
        <v>0.0</v>
      </c>
      <c r="V137" s="31">
        <f>IF(V136+AF137-L137&lt;=0.01,0,ROUND(V136+AF137-L137,2))</f>
        <v>0.0</v>
      </c>
      <c r="W137" s="31">
        <f>IF(W136+AG137-M137&lt;=0.01,0,ROUND(W136+AG137-M137,2))</f>
        <v>0.0</v>
      </c>
      <c r="X137" s="31">
        <f>IF(X136+AH137-N137&lt;=0.01,0,ROUND(X136+AH137-N137,2))</f>
        <v>0.0</v>
      </c>
      <c r="Y137" s="31">
        <f>IF(Y136+AI137-O137&lt;=0.01,0,ROUND(Y136+AI137-O137,2))</f>
        <v>0.0</v>
      </c>
      <c r="Z137" s="31">
        <f>IF(Z136+AJ137-P137&lt;=0.01,0,ROUND(Z136+AJ137-P137,2))</f>
        <v>0.0</v>
      </c>
      <c r="AA137" s="31">
        <f>IF(AA136+AK137-Q137&lt;=0.01,0,ROUND(AA136+AK137-Q137,2))</f>
        <v>0.0</v>
      </c>
      <c r="AB137" s="31">
        <f>ROUND(R136*AB$5/1200,2)</f>
        <v>0.0</v>
      </c>
      <c r="AC137" s="31">
        <f>ROUND(S136*AC$5/1200,2)</f>
        <v>0.0</v>
      </c>
      <c r="AD137" s="31">
        <f>ROUND(T136*AD$5/1200,2)</f>
        <v>0.0</v>
      </c>
      <c r="AE137" s="31">
        <f>ROUND(U136*AE$5/1200,2)</f>
        <v>0.0</v>
      </c>
      <c r="AF137" s="31">
        <f>ROUND(V136*AF$5/1200,2)</f>
        <v>0.0</v>
      </c>
      <c r="AG137" s="31">
        <f>ROUND(W136*AG$5/1200,2)</f>
        <v>0.0</v>
      </c>
      <c r="AH137" s="31">
        <f>ROUND(X136*AH$5/1200,2)</f>
        <v>0.0</v>
      </c>
      <c r="AI137" s="31">
        <f>ROUND(Y136*AI$5/1200,2)</f>
        <v>0.0</v>
      </c>
      <c r="AJ137" s="31">
        <f>ROUND(Z136*AJ$5/1200,2)</f>
        <v>0.0</v>
      </c>
      <c r="AK137" s="31">
        <f>ROUND(AA136*AK$5/1200,2)</f>
        <v>0.0</v>
      </c>
      <c r="AL137" s="31">
        <f>MIN(AL$5,R136+AB137)</f>
        <v>0.0</v>
      </c>
      <c r="AM137" s="31">
        <f>MIN(AM$5,S136+AC137)</f>
        <v>0.0</v>
      </c>
      <c r="AN137" s="31">
        <f>MIN(AN$5,T136+AD137)</f>
        <v>0.0</v>
      </c>
      <c r="AO137" s="31">
        <f>MIN(AO$5,U136+AE137)</f>
        <v>0.0</v>
      </c>
      <c r="AP137" s="31">
        <f>MIN(AP$5,V136+AF137)</f>
        <v>0.0</v>
      </c>
      <c r="AQ137" s="31">
        <f>MIN(AQ$5,W136+AG137)</f>
        <v>0.0</v>
      </c>
      <c r="AR137" s="31">
        <f>MIN(AR$5,X136+AH137)</f>
        <v>0.0</v>
      </c>
      <c r="AS137" s="31">
        <f>MIN(AS$5,Y136+AI137)</f>
        <v>0.0</v>
      </c>
      <c r="AT137" s="31">
        <f>MIN(AT$5,Z136+AJ137)</f>
        <v>0.0</v>
      </c>
      <c r="AU137" s="31">
        <f>MIN(AU$5,AA136+AK137)</f>
        <v>0.0</v>
      </c>
    </row>
    <row r="138">
      <c r="A138" s="25" t="str">
        <f>IF(F137&gt;0.005,133,"")</f>
        <v/>
      </c>
      <c r="B138" s="33" t="str">
        <f>IF(A138="","",EDATE(Долги!$D$5,132))</f>
        <v/>
      </c>
      <c r="C138" s="31">
        <f>SUM(H138:Q138)</f>
        <v>0.0</v>
      </c>
      <c r="D138" s="31">
        <f>SUM(AB138:AK138)</f>
        <v>0.0</v>
      </c>
      <c r="E138" s="31">
        <f>C138-D138</f>
        <v>0.0</v>
      </c>
      <c r="F138" s="31">
        <f>SUM(R138:AA138)</f>
        <v>0.0</v>
      </c>
      <c r="G138" s="34" t="str">
        <f>IF(OR(A138="",$F$5&lt;=0),"",REPT("█",ROUND(20*F138/$F$5,0)))</f>
        <v/>
      </c>
      <c r="H138" s="31">
        <f>AL138+MIN(R137+AB138-AL138,MAX(0,ROUND(Долги!$D$19-SUM($AL138:$AU138),2)))</f>
        <v>0.0</v>
      </c>
      <c r="I138" s="31">
        <f>AM138+MIN(S137+AC138-AM138,MAX(0,ROUND(ROUND(Долги!$D$19-SUM($AL138:$AU138),2)-(SUM($H138:H138)-SUM($AL138:AL138)),2)))</f>
        <v>0.0</v>
      </c>
      <c r="J138" s="31">
        <f>AN138+MIN(T137+AD138-AN138,MAX(0,ROUND(ROUND(Долги!$D$19-SUM($AL138:$AU138),2)-(SUM($H138:I138)-SUM($AL138:AM138)),2)))</f>
        <v>0.0</v>
      </c>
      <c r="K138" s="31">
        <f>AO138+MIN(U137+AE138-AO138,MAX(0,ROUND(ROUND(Долги!$D$19-SUM($AL138:$AU138),2)-(SUM($H138:J138)-SUM($AL138:AN138)),2)))</f>
        <v>0.0</v>
      </c>
      <c r="L138" s="31">
        <f>AP138+MIN(V137+AF138-AP138,MAX(0,ROUND(ROUND(Долги!$D$19-SUM($AL138:$AU138),2)-(SUM($H138:K138)-SUM($AL138:AO138)),2)))</f>
        <v>0.0</v>
      </c>
      <c r="M138" s="31">
        <f>AQ138+MIN(W137+AG138-AQ138,MAX(0,ROUND(ROUND(Долги!$D$19-SUM($AL138:$AU138),2)-(SUM($H138:L138)-SUM($AL138:AP138)),2)))</f>
        <v>0.0</v>
      </c>
      <c r="N138" s="31">
        <f>AR138+MIN(X137+AH138-AR138,MAX(0,ROUND(ROUND(Долги!$D$19-SUM($AL138:$AU138),2)-(SUM($H138:M138)-SUM($AL138:AQ138)),2)))</f>
        <v>0.0</v>
      </c>
      <c r="O138" s="31">
        <f>AS138+MIN(Y137+AI138-AS138,MAX(0,ROUND(ROUND(Долги!$D$19-SUM($AL138:$AU138),2)-(SUM($H138:N138)-SUM($AL138:AR138)),2)))</f>
        <v>0.0</v>
      </c>
      <c r="P138" s="31">
        <f>AT138+MIN(Z137+AJ138-AT138,MAX(0,ROUND(ROUND(Долги!$D$19-SUM($AL138:$AU138),2)-(SUM($H138:O138)-SUM($AL138:AS138)),2)))</f>
        <v>0.0</v>
      </c>
      <c r="Q138" s="31">
        <f>AU138+MIN(AA137+AK138-AU138,MAX(0,ROUND(ROUND(Долги!$D$19-SUM($AL138:$AU138),2)-(SUM($H138:P138)-SUM($AL138:AT138)),2)))</f>
        <v>0.0</v>
      </c>
      <c r="R138" s="31">
        <f>IF(R137+AB138-H138&lt;=0.01,0,ROUND(R137+AB138-H138,2))</f>
        <v>0.0</v>
      </c>
      <c r="S138" s="31">
        <f>IF(S137+AC138-I138&lt;=0.01,0,ROUND(S137+AC138-I138,2))</f>
        <v>0.0</v>
      </c>
      <c r="T138" s="31">
        <f>IF(T137+AD138-J138&lt;=0.01,0,ROUND(T137+AD138-J138,2))</f>
        <v>0.0</v>
      </c>
      <c r="U138" s="31">
        <f>IF(U137+AE138-K138&lt;=0.01,0,ROUND(U137+AE138-K138,2))</f>
        <v>0.0</v>
      </c>
      <c r="V138" s="31">
        <f>IF(V137+AF138-L138&lt;=0.01,0,ROUND(V137+AF138-L138,2))</f>
        <v>0.0</v>
      </c>
      <c r="W138" s="31">
        <f>IF(W137+AG138-M138&lt;=0.01,0,ROUND(W137+AG138-M138,2))</f>
        <v>0.0</v>
      </c>
      <c r="X138" s="31">
        <f>IF(X137+AH138-N138&lt;=0.01,0,ROUND(X137+AH138-N138,2))</f>
        <v>0.0</v>
      </c>
      <c r="Y138" s="31">
        <f>IF(Y137+AI138-O138&lt;=0.01,0,ROUND(Y137+AI138-O138,2))</f>
        <v>0.0</v>
      </c>
      <c r="Z138" s="31">
        <f>IF(Z137+AJ138-P138&lt;=0.01,0,ROUND(Z137+AJ138-P138,2))</f>
        <v>0.0</v>
      </c>
      <c r="AA138" s="31">
        <f>IF(AA137+AK138-Q138&lt;=0.01,0,ROUND(AA137+AK138-Q138,2))</f>
        <v>0.0</v>
      </c>
      <c r="AB138" s="31">
        <f>ROUND(R137*AB$5/1200,2)</f>
        <v>0.0</v>
      </c>
      <c r="AC138" s="31">
        <f>ROUND(S137*AC$5/1200,2)</f>
        <v>0.0</v>
      </c>
      <c r="AD138" s="31">
        <f>ROUND(T137*AD$5/1200,2)</f>
        <v>0.0</v>
      </c>
      <c r="AE138" s="31">
        <f>ROUND(U137*AE$5/1200,2)</f>
        <v>0.0</v>
      </c>
      <c r="AF138" s="31">
        <f>ROUND(V137*AF$5/1200,2)</f>
        <v>0.0</v>
      </c>
      <c r="AG138" s="31">
        <f>ROUND(W137*AG$5/1200,2)</f>
        <v>0.0</v>
      </c>
      <c r="AH138" s="31">
        <f>ROUND(X137*AH$5/1200,2)</f>
        <v>0.0</v>
      </c>
      <c r="AI138" s="31">
        <f>ROUND(Y137*AI$5/1200,2)</f>
        <v>0.0</v>
      </c>
      <c r="AJ138" s="31">
        <f>ROUND(Z137*AJ$5/1200,2)</f>
        <v>0.0</v>
      </c>
      <c r="AK138" s="31">
        <f>ROUND(AA137*AK$5/1200,2)</f>
        <v>0.0</v>
      </c>
      <c r="AL138" s="31">
        <f>MIN(AL$5,R137+AB138)</f>
        <v>0.0</v>
      </c>
      <c r="AM138" s="31">
        <f>MIN(AM$5,S137+AC138)</f>
        <v>0.0</v>
      </c>
      <c r="AN138" s="31">
        <f>MIN(AN$5,T137+AD138)</f>
        <v>0.0</v>
      </c>
      <c r="AO138" s="31">
        <f>MIN(AO$5,U137+AE138)</f>
        <v>0.0</v>
      </c>
      <c r="AP138" s="31">
        <f>MIN(AP$5,V137+AF138)</f>
        <v>0.0</v>
      </c>
      <c r="AQ138" s="31">
        <f>MIN(AQ$5,W137+AG138)</f>
        <v>0.0</v>
      </c>
      <c r="AR138" s="31">
        <f>MIN(AR$5,X137+AH138)</f>
        <v>0.0</v>
      </c>
      <c r="AS138" s="31">
        <f>MIN(AS$5,Y137+AI138)</f>
        <v>0.0</v>
      </c>
      <c r="AT138" s="31">
        <f>MIN(AT$5,Z137+AJ138)</f>
        <v>0.0</v>
      </c>
      <c r="AU138" s="31">
        <f>MIN(AU$5,AA137+AK138)</f>
        <v>0.0</v>
      </c>
    </row>
    <row r="139">
      <c r="A139" s="25" t="str">
        <f>IF(F138&gt;0.005,134,"")</f>
        <v/>
      </c>
      <c r="B139" s="33" t="str">
        <f>IF(A139="","",EDATE(Долги!$D$5,133))</f>
        <v/>
      </c>
      <c r="C139" s="31">
        <f>SUM(H139:Q139)</f>
        <v>0.0</v>
      </c>
      <c r="D139" s="31">
        <f>SUM(AB139:AK139)</f>
        <v>0.0</v>
      </c>
      <c r="E139" s="31">
        <f>C139-D139</f>
        <v>0.0</v>
      </c>
      <c r="F139" s="31">
        <f>SUM(R139:AA139)</f>
        <v>0.0</v>
      </c>
      <c r="G139" s="34" t="str">
        <f>IF(OR(A139="",$F$5&lt;=0),"",REPT("█",ROUND(20*F139/$F$5,0)))</f>
        <v/>
      </c>
      <c r="H139" s="31">
        <f>AL139+MIN(R138+AB139-AL139,MAX(0,ROUND(Долги!$D$19-SUM($AL139:$AU139),2)))</f>
        <v>0.0</v>
      </c>
      <c r="I139" s="31">
        <f>AM139+MIN(S138+AC139-AM139,MAX(0,ROUND(ROUND(Долги!$D$19-SUM($AL139:$AU139),2)-(SUM($H139:H139)-SUM($AL139:AL139)),2)))</f>
        <v>0.0</v>
      </c>
      <c r="J139" s="31">
        <f>AN139+MIN(T138+AD139-AN139,MAX(0,ROUND(ROUND(Долги!$D$19-SUM($AL139:$AU139),2)-(SUM($H139:I139)-SUM($AL139:AM139)),2)))</f>
        <v>0.0</v>
      </c>
      <c r="K139" s="31">
        <f>AO139+MIN(U138+AE139-AO139,MAX(0,ROUND(ROUND(Долги!$D$19-SUM($AL139:$AU139),2)-(SUM($H139:J139)-SUM($AL139:AN139)),2)))</f>
        <v>0.0</v>
      </c>
      <c r="L139" s="31">
        <f>AP139+MIN(V138+AF139-AP139,MAX(0,ROUND(ROUND(Долги!$D$19-SUM($AL139:$AU139),2)-(SUM($H139:K139)-SUM($AL139:AO139)),2)))</f>
        <v>0.0</v>
      </c>
      <c r="M139" s="31">
        <f>AQ139+MIN(W138+AG139-AQ139,MAX(0,ROUND(ROUND(Долги!$D$19-SUM($AL139:$AU139),2)-(SUM($H139:L139)-SUM($AL139:AP139)),2)))</f>
        <v>0.0</v>
      </c>
      <c r="N139" s="31">
        <f>AR139+MIN(X138+AH139-AR139,MAX(0,ROUND(ROUND(Долги!$D$19-SUM($AL139:$AU139),2)-(SUM($H139:M139)-SUM($AL139:AQ139)),2)))</f>
        <v>0.0</v>
      </c>
      <c r="O139" s="31">
        <f>AS139+MIN(Y138+AI139-AS139,MAX(0,ROUND(ROUND(Долги!$D$19-SUM($AL139:$AU139),2)-(SUM($H139:N139)-SUM($AL139:AR139)),2)))</f>
        <v>0.0</v>
      </c>
      <c r="P139" s="31">
        <f>AT139+MIN(Z138+AJ139-AT139,MAX(0,ROUND(ROUND(Долги!$D$19-SUM($AL139:$AU139),2)-(SUM($H139:O139)-SUM($AL139:AS139)),2)))</f>
        <v>0.0</v>
      </c>
      <c r="Q139" s="31">
        <f>AU139+MIN(AA138+AK139-AU139,MAX(0,ROUND(ROUND(Долги!$D$19-SUM($AL139:$AU139),2)-(SUM($H139:P139)-SUM($AL139:AT139)),2)))</f>
        <v>0.0</v>
      </c>
      <c r="R139" s="31">
        <f>IF(R138+AB139-H139&lt;=0.01,0,ROUND(R138+AB139-H139,2))</f>
        <v>0.0</v>
      </c>
      <c r="S139" s="31">
        <f>IF(S138+AC139-I139&lt;=0.01,0,ROUND(S138+AC139-I139,2))</f>
        <v>0.0</v>
      </c>
      <c r="T139" s="31">
        <f>IF(T138+AD139-J139&lt;=0.01,0,ROUND(T138+AD139-J139,2))</f>
        <v>0.0</v>
      </c>
      <c r="U139" s="31">
        <f>IF(U138+AE139-K139&lt;=0.01,0,ROUND(U138+AE139-K139,2))</f>
        <v>0.0</v>
      </c>
      <c r="V139" s="31">
        <f>IF(V138+AF139-L139&lt;=0.01,0,ROUND(V138+AF139-L139,2))</f>
        <v>0.0</v>
      </c>
      <c r="W139" s="31">
        <f>IF(W138+AG139-M139&lt;=0.01,0,ROUND(W138+AG139-M139,2))</f>
        <v>0.0</v>
      </c>
      <c r="X139" s="31">
        <f>IF(X138+AH139-N139&lt;=0.01,0,ROUND(X138+AH139-N139,2))</f>
        <v>0.0</v>
      </c>
      <c r="Y139" s="31">
        <f>IF(Y138+AI139-O139&lt;=0.01,0,ROUND(Y138+AI139-O139,2))</f>
        <v>0.0</v>
      </c>
      <c r="Z139" s="31">
        <f>IF(Z138+AJ139-P139&lt;=0.01,0,ROUND(Z138+AJ139-P139,2))</f>
        <v>0.0</v>
      </c>
      <c r="AA139" s="31">
        <f>IF(AA138+AK139-Q139&lt;=0.01,0,ROUND(AA138+AK139-Q139,2))</f>
        <v>0.0</v>
      </c>
      <c r="AB139" s="31">
        <f>ROUND(R138*AB$5/1200,2)</f>
        <v>0.0</v>
      </c>
      <c r="AC139" s="31">
        <f>ROUND(S138*AC$5/1200,2)</f>
        <v>0.0</v>
      </c>
      <c r="AD139" s="31">
        <f>ROUND(T138*AD$5/1200,2)</f>
        <v>0.0</v>
      </c>
      <c r="AE139" s="31">
        <f>ROUND(U138*AE$5/1200,2)</f>
        <v>0.0</v>
      </c>
      <c r="AF139" s="31">
        <f>ROUND(V138*AF$5/1200,2)</f>
        <v>0.0</v>
      </c>
      <c r="AG139" s="31">
        <f>ROUND(W138*AG$5/1200,2)</f>
        <v>0.0</v>
      </c>
      <c r="AH139" s="31">
        <f>ROUND(X138*AH$5/1200,2)</f>
        <v>0.0</v>
      </c>
      <c r="AI139" s="31">
        <f>ROUND(Y138*AI$5/1200,2)</f>
        <v>0.0</v>
      </c>
      <c r="AJ139" s="31">
        <f>ROUND(Z138*AJ$5/1200,2)</f>
        <v>0.0</v>
      </c>
      <c r="AK139" s="31">
        <f>ROUND(AA138*AK$5/1200,2)</f>
        <v>0.0</v>
      </c>
      <c r="AL139" s="31">
        <f>MIN(AL$5,R138+AB139)</f>
        <v>0.0</v>
      </c>
      <c r="AM139" s="31">
        <f>MIN(AM$5,S138+AC139)</f>
        <v>0.0</v>
      </c>
      <c r="AN139" s="31">
        <f>MIN(AN$5,T138+AD139)</f>
        <v>0.0</v>
      </c>
      <c r="AO139" s="31">
        <f>MIN(AO$5,U138+AE139)</f>
        <v>0.0</v>
      </c>
      <c r="AP139" s="31">
        <f>MIN(AP$5,V138+AF139)</f>
        <v>0.0</v>
      </c>
      <c r="AQ139" s="31">
        <f>MIN(AQ$5,W138+AG139)</f>
        <v>0.0</v>
      </c>
      <c r="AR139" s="31">
        <f>MIN(AR$5,X138+AH139)</f>
        <v>0.0</v>
      </c>
      <c r="AS139" s="31">
        <f>MIN(AS$5,Y138+AI139)</f>
        <v>0.0</v>
      </c>
      <c r="AT139" s="31">
        <f>MIN(AT$5,Z138+AJ139)</f>
        <v>0.0</v>
      </c>
      <c r="AU139" s="31">
        <f>MIN(AU$5,AA138+AK139)</f>
        <v>0.0</v>
      </c>
    </row>
    <row r="140">
      <c r="A140" s="25" t="str">
        <f>IF(F139&gt;0.005,135,"")</f>
        <v/>
      </c>
      <c r="B140" s="33" t="str">
        <f>IF(A140="","",EDATE(Долги!$D$5,134))</f>
        <v/>
      </c>
      <c r="C140" s="31">
        <f>SUM(H140:Q140)</f>
        <v>0.0</v>
      </c>
      <c r="D140" s="31">
        <f>SUM(AB140:AK140)</f>
        <v>0.0</v>
      </c>
      <c r="E140" s="31">
        <f>C140-D140</f>
        <v>0.0</v>
      </c>
      <c r="F140" s="31">
        <f>SUM(R140:AA140)</f>
        <v>0.0</v>
      </c>
      <c r="G140" s="34" t="str">
        <f>IF(OR(A140="",$F$5&lt;=0),"",REPT("█",ROUND(20*F140/$F$5,0)))</f>
        <v/>
      </c>
      <c r="H140" s="31">
        <f>AL140+MIN(R139+AB140-AL140,MAX(0,ROUND(Долги!$D$19-SUM($AL140:$AU140),2)))</f>
        <v>0.0</v>
      </c>
      <c r="I140" s="31">
        <f>AM140+MIN(S139+AC140-AM140,MAX(0,ROUND(ROUND(Долги!$D$19-SUM($AL140:$AU140),2)-(SUM($H140:H140)-SUM($AL140:AL140)),2)))</f>
        <v>0.0</v>
      </c>
      <c r="J140" s="31">
        <f>AN140+MIN(T139+AD140-AN140,MAX(0,ROUND(ROUND(Долги!$D$19-SUM($AL140:$AU140),2)-(SUM($H140:I140)-SUM($AL140:AM140)),2)))</f>
        <v>0.0</v>
      </c>
      <c r="K140" s="31">
        <f>AO140+MIN(U139+AE140-AO140,MAX(0,ROUND(ROUND(Долги!$D$19-SUM($AL140:$AU140),2)-(SUM($H140:J140)-SUM($AL140:AN140)),2)))</f>
        <v>0.0</v>
      </c>
      <c r="L140" s="31">
        <f>AP140+MIN(V139+AF140-AP140,MAX(0,ROUND(ROUND(Долги!$D$19-SUM($AL140:$AU140),2)-(SUM($H140:K140)-SUM($AL140:AO140)),2)))</f>
        <v>0.0</v>
      </c>
      <c r="M140" s="31">
        <f>AQ140+MIN(W139+AG140-AQ140,MAX(0,ROUND(ROUND(Долги!$D$19-SUM($AL140:$AU140),2)-(SUM($H140:L140)-SUM($AL140:AP140)),2)))</f>
        <v>0.0</v>
      </c>
      <c r="N140" s="31">
        <f>AR140+MIN(X139+AH140-AR140,MAX(0,ROUND(ROUND(Долги!$D$19-SUM($AL140:$AU140),2)-(SUM($H140:M140)-SUM($AL140:AQ140)),2)))</f>
        <v>0.0</v>
      </c>
      <c r="O140" s="31">
        <f>AS140+MIN(Y139+AI140-AS140,MAX(0,ROUND(ROUND(Долги!$D$19-SUM($AL140:$AU140),2)-(SUM($H140:N140)-SUM($AL140:AR140)),2)))</f>
        <v>0.0</v>
      </c>
      <c r="P140" s="31">
        <f>AT140+MIN(Z139+AJ140-AT140,MAX(0,ROUND(ROUND(Долги!$D$19-SUM($AL140:$AU140),2)-(SUM($H140:O140)-SUM($AL140:AS140)),2)))</f>
        <v>0.0</v>
      </c>
      <c r="Q140" s="31">
        <f>AU140+MIN(AA139+AK140-AU140,MAX(0,ROUND(ROUND(Долги!$D$19-SUM($AL140:$AU140),2)-(SUM($H140:P140)-SUM($AL140:AT140)),2)))</f>
        <v>0.0</v>
      </c>
      <c r="R140" s="31">
        <f>IF(R139+AB140-H140&lt;=0.01,0,ROUND(R139+AB140-H140,2))</f>
        <v>0.0</v>
      </c>
      <c r="S140" s="31">
        <f>IF(S139+AC140-I140&lt;=0.01,0,ROUND(S139+AC140-I140,2))</f>
        <v>0.0</v>
      </c>
      <c r="T140" s="31">
        <f>IF(T139+AD140-J140&lt;=0.01,0,ROUND(T139+AD140-J140,2))</f>
        <v>0.0</v>
      </c>
      <c r="U140" s="31">
        <f>IF(U139+AE140-K140&lt;=0.01,0,ROUND(U139+AE140-K140,2))</f>
        <v>0.0</v>
      </c>
      <c r="V140" s="31">
        <f>IF(V139+AF140-L140&lt;=0.01,0,ROUND(V139+AF140-L140,2))</f>
        <v>0.0</v>
      </c>
      <c r="W140" s="31">
        <f>IF(W139+AG140-M140&lt;=0.01,0,ROUND(W139+AG140-M140,2))</f>
        <v>0.0</v>
      </c>
      <c r="X140" s="31">
        <f>IF(X139+AH140-N140&lt;=0.01,0,ROUND(X139+AH140-N140,2))</f>
        <v>0.0</v>
      </c>
      <c r="Y140" s="31">
        <f>IF(Y139+AI140-O140&lt;=0.01,0,ROUND(Y139+AI140-O140,2))</f>
        <v>0.0</v>
      </c>
      <c r="Z140" s="31">
        <f>IF(Z139+AJ140-P140&lt;=0.01,0,ROUND(Z139+AJ140-P140,2))</f>
        <v>0.0</v>
      </c>
      <c r="AA140" s="31">
        <f>IF(AA139+AK140-Q140&lt;=0.01,0,ROUND(AA139+AK140-Q140,2))</f>
        <v>0.0</v>
      </c>
      <c r="AB140" s="31">
        <f>ROUND(R139*AB$5/1200,2)</f>
        <v>0.0</v>
      </c>
      <c r="AC140" s="31">
        <f>ROUND(S139*AC$5/1200,2)</f>
        <v>0.0</v>
      </c>
      <c r="AD140" s="31">
        <f>ROUND(T139*AD$5/1200,2)</f>
        <v>0.0</v>
      </c>
      <c r="AE140" s="31">
        <f>ROUND(U139*AE$5/1200,2)</f>
        <v>0.0</v>
      </c>
      <c r="AF140" s="31">
        <f>ROUND(V139*AF$5/1200,2)</f>
        <v>0.0</v>
      </c>
      <c r="AG140" s="31">
        <f>ROUND(W139*AG$5/1200,2)</f>
        <v>0.0</v>
      </c>
      <c r="AH140" s="31">
        <f>ROUND(X139*AH$5/1200,2)</f>
        <v>0.0</v>
      </c>
      <c r="AI140" s="31">
        <f>ROUND(Y139*AI$5/1200,2)</f>
        <v>0.0</v>
      </c>
      <c r="AJ140" s="31">
        <f>ROUND(Z139*AJ$5/1200,2)</f>
        <v>0.0</v>
      </c>
      <c r="AK140" s="31">
        <f>ROUND(AA139*AK$5/1200,2)</f>
        <v>0.0</v>
      </c>
      <c r="AL140" s="31">
        <f>MIN(AL$5,R139+AB140)</f>
        <v>0.0</v>
      </c>
      <c r="AM140" s="31">
        <f>MIN(AM$5,S139+AC140)</f>
        <v>0.0</v>
      </c>
      <c r="AN140" s="31">
        <f>MIN(AN$5,T139+AD140)</f>
        <v>0.0</v>
      </c>
      <c r="AO140" s="31">
        <f>MIN(AO$5,U139+AE140)</f>
        <v>0.0</v>
      </c>
      <c r="AP140" s="31">
        <f>MIN(AP$5,V139+AF140)</f>
        <v>0.0</v>
      </c>
      <c r="AQ140" s="31">
        <f>MIN(AQ$5,W139+AG140)</f>
        <v>0.0</v>
      </c>
      <c r="AR140" s="31">
        <f>MIN(AR$5,X139+AH140)</f>
        <v>0.0</v>
      </c>
      <c r="AS140" s="31">
        <f>MIN(AS$5,Y139+AI140)</f>
        <v>0.0</v>
      </c>
      <c r="AT140" s="31">
        <f>MIN(AT$5,Z139+AJ140)</f>
        <v>0.0</v>
      </c>
      <c r="AU140" s="31">
        <f>MIN(AU$5,AA139+AK140)</f>
        <v>0.0</v>
      </c>
    </row>
    <row r="141">
      <c r="A141" s="25" t="str">
        <f>IF(F140&gt;0.005,136,"")</f>
        <v/>
      </c>
      <c r="B141" s="33" t="str">
        <f>IF(A141="","",EDATE(Долги!$D$5,135))</f>
        <v/>
      </c>
      <c r="C141" s="31">
        <f>SUM(H141:Q141)</f>
        <v>0.0</v>
      </c>
      <c r="D141" s="31">
        <f>SUM(AB141:AK141)</f>
        <v>0.0</v>
      </c>
      <c r="E141" s="31">
        <f>C141-D141</f>
        <v>0.0</v>
      </c>
      <c r="F141" s="31">
        <f>SUM(R141:AA141)</f>
        <v>0.0</v>
      </c>
      <c r="G141" s="34" t="str">
        <f>IF(OR(A141="",$F$5&lt;=0),"",REPT("█",ROUND(20*F141/$F$5,0)))</f>
        <v/>
      </c>
      <c r="H141" s="31">
        <f>AL141+MIN(R140+AB141-AL141,MAX(0,ROUND(Долги!$D$19-SUM($AL141:$AU141),2)))</f>
        <v>0.0</v>
      </c>
      <c r="I141" s="31">
        <f>AM141+MIN(S140+AC141-AM141,MAX(0,ROUND(ROUND(Долги!$D$19-SUM($AL141:$AU141),2)-(SUM($H141:H141)-SUM($AL141:AL141)),2)))</f>
        <v>0.0</v>
      </c>
      <c r="J141" s="31">
        <f>AN141+MIN(T140+AD141-AN141,MAX(0,ROUND(ROUND(Долги!$D$19-SUM($AL141:$AU141),2)-(SUM($H141:I141)-SUM($AL141:AM141)),2)))</f>
        <v>0.0</v>
      </c>
      <c r="K141" s="31">
        <f>AO141+MIN(U140+AE141-AO141,MAX(0,ROUND(ROUND(Долги!$D$19-SUM($AL141:$AU141),2)-(SUM($H141:J141)-SUM($AL141:AN141)),2)))</f>
        <v>0.0</v>
      </c>
      <c r="L141" s="31">
        <f>AP141+MIN(V140+AF141-AP141,MAX(0,ROUND(ROUND(Долги!$D$19-SUM($AL141:$AU141),2)-(SUM($H141:K141)-SUM($AL141:AO141)),2)))</f>
        <v>0.0</v>
      </c>
      <c r="M141" s="31">
        <f>AQ141+MIN(W140+AG141-AQ141,MAX(0,ROUND(ROUND(Долги!$D$19-SUM($AL141:$AU141),2)-(SUM($H141:L141)-SUM($AL141:AP141)),2)))</f>
        <v>0.0</v>
      </c>
      <c r="N141" s="31">
        <f>AR141+MIN(X140+AH141-AR141,MAX(0,ROUND(ROUND(Долги!$D$19-SUM($AL141:$AU141),2)-(SUM($H141:M141)-SUM($AL141:AQ141)),2)))</f>
        <v>0.0</v>
      </c>
      <c r="O141" s="31">
        <f>AS141+MIN(Y140+AI141-AS141,MAX(0,ROUND(ROUND(Долги!$D$19-SUM($AL141:$AU141),2)-(SUM($H141:N141)-SUM($AL141:AR141)),2)))</f>
        <v>0.0</v>
      </c>
      <c r="P141" s="31">
        <f>AT141+MIN(Z140+AJ141-AT141,MAX(0,ROUND(ROUND(Долги!$D$19-SUM($AL141:$AU141),2)-(SUM($H141:O141)-SUM($AL141:AS141)),2)))</f>
        <v>0.0</v>
      </c>
      <c r="Q141" s="31">
        <f>AU141+MIN(AA140+AK141-AU141,MAX(0,ROUND(ROUND(Долги!$D$19-SUM($AL141:$AU141),2)-(SUM($H141:P141)-SUM($AL141:AT141)),2)))</f>
        <v>0.0</v>
      </c>
      <c r="R141" s="31">
        <f>IF(R140+AB141-H141&lt;=0.01,0,ROUND(R140+AB141-H141,2))</f>
        <v>0.0</v>
      </c>
      <c r="S141" s="31">
        <f>IF(S140+AC141-I141&lt;=0.01,0,ROUND(S140+AC141-I141,2))</f>
        <v>0.0</v>
      </c>
      <c r="T141" s="31">
        <f>IF(T140+AD141-J141&lt;=0.01,0,ROUND(T140+AD141-J141,2))</f>
        <v>0.0</v>
      </c>
      <c r="U141" s="31">
        <f>IF(U140+AE141-K141&lt;=0.01,0,ROUND(U140+AE141-K141,2))</f>
        <v>0.0</v>
      </c>
      <c r="V141" s="31">
        <f>IF(V140+AF141-L141&lt;=0.01,0,ROUND(V140+AF141-L141,2))</f>
        <v>0.0</v>
      </c>
      <c r="W141" s="31">
        <f>IF(W140+AG141-M141&lt;=0.01,0,ROUND(W140+AG141-M141,2))</f>
        <v>0.0</v>
      </c>
      <c r="X141" s="31">
        <f>IF(X140+AH141-N141&lt;=0.01,0,ROUND(X140+AH141-N141,2))</f>
        <v>0.0</v>
      </c>
      <c r="Y141" s="31">
        <f>IF(Y140+AI141-O141&lt;=0.01,0,ROUND(Y140+AI141-O141,2))</f>
        <v>0.0</v>
      </c>
      <c r="Z141" s="31">
        <f>IF(Z140+AJ141-P141&lt;=0.01,0,ROUND(Z140+AJ141-P141,2))</f>
        <v>0.0</v>
      </c>
      <c r="AA141" s="31">
        <f>IF(AA140+AK141-Q141&lt;=0.01,0,ROUND(AA140+AK141-Q141,2))</f>
        <v>0.0</v>
      </c>
      <c r="AB141" s="31">
        <f>ROUND(R140*AB$5/1200,2)</f>
        <v>0.0</v>
      </c>
      <c r="AC141" s="31">
        <f>ROUND(S140*AC$5/1200,2)</f>
        <v>0.0</v>
      </c>
      <c r="AD141" s="31">
        <f>ROUND(T140*AD$5/1200,2)</f>
        <v>0.0</v>
      </c>
      <c r="AE141" s="31">
        <f>ROUND(U140*AE$5/1200,2)</f>
        <v>0.0</v>
      </c>
      <c r="AF141" s="31">
        <f>ROUND(V140*AF$5/1200,2)</f>
        <v>0.0</v>
      </c>
      <c r="AG141" s="31">
        <f>ROUND(W140*AG$5/1200,2)</f>
        <v>0.0</v>
      </c>
      <c r="AH141" s="31">
        <f>ROUND(X140*AH$5/1200,2)</f>
        <v>0.0</v>
      </c>
      <c r="AI141" s="31">
        <f>ROUND(Y140*AI$5/1200,2)</f>
        <v>0.0</v>
      </c>
      <c r="AJ141" s="31">
        <f>ROUND(Z140*AJ$5/1200,2)</f>
        <v>0.0</v>
      </c>
      <c r="AK141" s="31">
        <f>ROUND(AA140*AK$5/1200,2)</f>
        <v>0.0</v>
      </c>
      <c r="AL141" s="31">
        <f>MIN(AL$5,R140+AB141)</f>
        <v>0.0</v>
      </c>
      <c r="AM141" s="31">
        <f>MIN(AM$5,S140+AC141)</f>
        <v>0.0</v>
      </c>
      <c r="AN141" s="31">
        <f>MIN(AN$5,T140+AD141)</f>
        <v>0.0</v>
      </c>
      <c r="AO141" s="31">
        <f>MIN(AO$5,U140+AE141)</f>
        <v>0.0</v>
      </c>
      <c r="AP141" s="31">
        <f>MIN(AP$5,V140+AF141)</f>
        <v>0.0</v>
      </c>
      <c r="AQ141" s="31">
        <f>MIN(AQ$5,W140+AG141)</f>
        <v>0.0</v>
      </c>
      <c r="AR141" s="31">
        <f>MIN(AR$5,X140+AH141)</f>
        <v>0.0</v>
      </c>
      <c r="AS141" s="31">
        <f>MIN(AS$5,Y140+AI141)</f>
        <v>0.0</v>
      </c>
      <c r="AT141" s="31">
        <f>MIN(AT$5,Z140+AJ141)</f>
        <v>0.0</v>
      </c>
      <c r="AU141" s="31">
        <f>MIN(AU$5,AA140+AK141)</f>
        <v>0.0</v>
      </c>
    </row>
    <row r="142">
      <c r="A142" s="25" t="str">
        <f>IF(F141&gt;0.005,137,"")</f>
        <v/>
      </c>
      <c r="B142" s="33" t="str">
        <f>IF(A142="","",EDATE(Долги!$D$5,136))</f>
        <v/>
      </c>
      <c r="C142" s="31">
        <f>SUM(H142:Q142)</f>
        <v>0.0</v>
      </c>
      <c r="D142" s="31">
        <f>SUM(AB142:AK142)</f>
        <v>0.0</v>
      </c>
      <c r="E142" s="31">
        <f>C142-D142</f>
        <v>0.0</v>
      </c>
      <c r="F142" s="31">
        <f>SUM(R142:AA142)</f>
        <v>0.0</v>
      </c>
      <c r="G142" s="34" t="str">
        <f>IF(OR(A142="",$F$5&lt;=0),"",REPT("█",ROUND(20*F142/$F$5,0)))</f>
        <v/>
      </c>
      <c r="H142" s="31">
        <f>AL142+MIN(R141+AB142-AL142,MAX(0,ROUND(Долги!$D$19-SUM($AL142:$AU142),2)))</f>
        <v>0.0</v>
      </c>
      <c r="I142" s="31">
        <f>AM142+MIN(S141+AC142-AM142,MAX(0,ROUND(ROUND(Долги!$D$19-SUM($AL142:$AU142),2)-(SUM($H142:H142)-SUM($AL142:AL142)),2)))</f>
        <v>0.0</v>
      </c>
      <c r="J142" s="31">
        <f>AN142+MIN(T141+AD142-AN142,MAX(0,ROUND(ROUND(Долги!$D$19-SUM($AL142:$AU142),2)-(SUM($H142:I142)-SUM($AL142:AM142)),2)))</f>
        <v>0.0</v>
      </c>
      <c r="K142" s="31">
        <f>AO142+MIN(U141+AE142-AO142,MAX(0,ROUND(ROUND(Долги!$D$19-SUM($AL142:$AU142),2)-(SUM($H142:J142)-SUM($AL142:AN142)),2)))</f>
        <v>0.0</v>
      </c>
      <c r="L142" s="31">
        <f>AP142+MIN(V141+AF142-AP142,MAX(0,ROUND(ROUND(Долги!$D$19-SUM($AL142:$AU142),2)-(SUM($H142:K142)-SUM($AL142:AO142)),2)))</f>
        <v>0.0</v>
      </c>
      <c r="M142" s="31">
        <f>AQ142+MIN(W141+AG142-AQ142,MAX(0,ROUND(ROUND(Долги!$D$19-SUM($AL142:$AU142),2)-(SUM($H142:L142)-SUM($AL142:AP142)),2)))</f>
        <v>0.0</v>
      </c>
      <c r="N142" s="31">
        <f>AR142+MIN(X141+AH142-AR142,MAX(0,ROUND(ROUND(Долги!$D$19-SUM($AL142:$AU142),2)-(SUM($H142:M142)-SUM($AL142:AQ142)),2)))</f>
        <v>0.0</v>
      </c>
      <c r="O142" s="31">
        <f>AS142+MIN(Y141+AI142-AS142,MAX(0,ROUND(ROUND(Долги!$D$19-SUM($AL142:$AU142),2)-(SUM($H142:N142)-SUM($AL142:AR142)),2)))</f>
        <v>0.0</v>
      </c>
      <c r="P142" s="31">
        <f>AT142+MIN(Z141+AJ142-AT142,MAX(0,ROUND(ROUND(Долги!$D$19-SUM($AL142:$AU142),2)-(SUM($H142:O142)-SUM($AL142:AS142)),2)))</f>
        <v>0.0</v>
      </c>
      <c r="Q142" s="31">
        <f>AU142+MIN(AA141+AK142-AU142,MAX(0,ROUND(ROUND(Долги!$D$19-SUM($AL142:$AU142),2)-(SUM($H142:P142)-SUM($AL142:AT142)),2)))</f>
        <v>0.0</v>
      </c>
      <c r="R142" s="31">
        <f>IF(R141+AB142-H142&lt;=0.01,0,ROUND(R141+AB142-H142,2))</f>
        <v>0.0</v>
      </c>
      <c r="S142" s="31">
        <f>IF(S141+AC142-I142&lt;=0.01,0,ROUND(S141+AC142-I142,2))</f>
        <v>0.0</v>
      </c>
      <c r="T142" s="31">
        <f>IF(T141+AD142-J142&lt;=0.01,0,ROUND(T141+AD142-J142,2))</f>
        <v>0.0</v>
      </c>
      <c r="U142" s="31">
        <f>IF(U141+AE142-K142&lt;=0.01,0,ROUND(U141+AE142-K142,2))</f>
        <v>0.0</v>
      </c>
      <c r="V142" s="31">
        <f>IF(V141+AF142-L142&lt;=0.01,0,ROUND(V141+AF142-L142,2))</f>
        <v>0.0</v>
      </c>
      <c r="W142" s="31">
        <f>IF(W141+AG142-M142&lt;=0.01,0,ROUND(W141+AG142-M142,2))</f>
        <v>0.0</v>
      </c>
      <c r="X142" s="31">
        <f>IF(X141+AH142-N142&lt;=0.01,0,ROUND(X141+AH142-N142,2))</f>
        <v>0.0</v>
      </c>
      <c r="Y142" s="31">
        <f>IF(Y141+AI142-O142&lt;=0.01,0,ROUND(Y141+AI142-O142,2))</f>
        <v>0.0</v>
      </c>
      <c r="Z142" s="31">
        <f>IF(Z141+AJ142-P142&lt;=0.01,0,ROUND(Z141+AJ142-P142,2))</f>
        <v>0.0</v>
      </c>
      <c r="AA142" s="31">
        <f>IF(AA141+AK142-Q142&lt;=0.01,0,ROUND(AA141+AK142-Q142,2))</f>
        <v>0.0</v>
      </c>
      <c r="AB142" s="31">
        <f>ROUND(R141*AB$5/1200,2)</f>
        <v>0.0</v>
      </c>
      <c r="AC142" s="31">
        <f>ROUND(S141*AC$5/1200,2)</f>
        <v>0.0</v>
      </c>
      <c r="AD142" s="31">
        <f>ROUND(T141*AD$5/1200,2)</f>
        <v>0.0</v>
      </c>
      <c r="AE142" s="31">
        <f>ROUND(U141*AE$5/1200,2)</f>
        <v>0.0</v>
      </c>
      <c r="AF142" s="31">
        <f>ROUND(V141*AF$5/1200,2)</f>
        <v>0.0</v>
      </c>
      <c r="AG142" s="31">
        <f>ROUND(W141*AG$5/1200,2)</f>
        <v>0.0</v>
      </c>
      <c r="AH142" s="31">
        <f>ROUND(X141*AH$5/1200,2)</f>
        <v>0.0</v>
      </c>
      <c r="AI142" s="31">
        <f>ROUND(Y141*AI$5/1200,2)</f>
        <v>0.0</v>
      </c>
      <c r="AJ142" s="31">
        <f>ROUND(Z141*AJ$5/1200,2)</f>
        <v>0.0</v>
      </c>
      <c r="AK142" s="31">
        <f>ROUND(AA141*AK$5/1200,2)</f>
        <v>0.0</v>
      </c>
      <c r="AL142" s="31">
        <f>MIN(AL$5,R141+AB142)</f>
        <v>0.0</v>
      </c>
      <c r="AM142" s="31">
        <f>MIN(AM$5,S141+AC142)</f>
        <v>0.0</v>
      </c>
      <c r="AN142" s="31">
        <f>MIN(AN$5,T141+AD142)</f>
        <v>0.0</v>
      </c>
      <c r="AO142" s="31">
        <f>MIN(AO$5,U141+AE142)</f>
        <v>0.0</v>
      </c>
      <c r="AP142" s="31">
        <f>MIN(AP$5,V141+AF142)</f>
        <v>0.0</v>
      </c>
      <c r="AQ142" s="31">
        <f>MIN(AQ$5,W141+AG142)</f>
        <v>0.0</v>
      </c>
      <c r="AR142" s="31">
        <f>MIN(AR$5,X141+AH142)</f>
        <v>0.0</v>
      </c>
      <c r="AS142" s="31">
        <f>MIN(AS$5,Y141+AI142)</f>
        <v>0.0</v>
      </c>
      <c r="AT142" s="31">
        <f>MIN(AT$5,Z141+AJ142)</f>
        <v>0.0</v>
      </c>
      <c r="AU142" s="31">
        <f>MIN(AU$5,AA141+AK142)</f>
        <v>0.0</v>
      </c>
    </row>
    <row r="143">
      <c r="A143" s="25" t="str">
        <f>IF(F142&gt;0.005,138,"")</f>
        <v/>
      </c>
      <c r="B143" s="33" t="str">
        <f>IF(A143="","",EDATE(Долги!$D$5,137))</f>
        <v/>
      </c>
      <c r="C143" s="31">
        <f>SUM(H143:Q143)</f>
        <v>0.0</v>
      </c>
      <c r="D143" s="31">
        <f>SUM(AB143:AK143)</f>
        <v>0.0</v>
      </c>
      <c r="E143" s="31">
        <f>C143-D143</f>
        <v>0.0</v>
      </c>
      <c r="F143" s="31">
        <f>SUM(R143:AA143)</f>
        <v>0.0</v>
      </c>
      <c r="G143" s="34" t="str">
        <f>IF(OR(A143="",$F$5&lt;=0),"",REPT("█",ROUND(20*F143/$F$5,0)))</f>
        <v/>
      </c>
      <c r="H143" s="31">
        <f>AL143+MIN(R142+AB143-AL143,MAX(0,ROUND(Долги!$D$19-SUM($AL143:$AU143),2)))</f>
        <v>0.0</v>
      </c>
      <c r="I143" s="31">
        <f>AM143+MIN(S142+AC143-AM143,MAX(0,ROUND(ROUND(Долги!$D$19-SUM($AL143:$AU143),2)-(SUM($H143:H143)-SUM($AL143:AL143)),2)))</f>
        <v>0.0</v>
      </c>
      <c r="J143" s="31">
        <f>AN143+MIN(T142+AD143-AN143,MAX(0,ROUND(ROUND(Долги!$D$19-SUM($AL143:$AU143),2)-(SUM($H143:I143)-SUM($AL143:AM143)),2)))</f>
        <v>0.0</v>
      </c>
      <c r="K143" s="31">
        <f>AO143+MIN(U142+AE143-AO143,MAX(0,ROUND(ROUND(Долги!$D$19-SUM($AL143:$AU143),2)-(SUM($H143:J143)-SUM($AL143:AN143)),2)))</f>
        <v>0.0</v>
      </c>
      <c r="L143" s="31">
        <f>AP143+MIN(V142+AF143-AP143,MAX(0,ROUND(ROUND(Долги!$D$19-SUM($AL143:$AU143),2)-(SUM($H143:K143)-SUM($AL143:AO143)),2)))</f>
        <v>0.0</v>
      </c>
      <c r="M143" s="31">
        <f>AQ143+MIN(W142+AG143-AQ143,MAX(0,ROUND(ROUND(Долги!$D$19-SUM($AL143:$AU143),2)-(SUM($H143:L143)-SUM($AL143:AP143)),2)))</f>
        <v>0.0</v>
      </c>
      <c r="N143" s="31">
        <f>AR143+MIN(X142+AH143-AR143,MAX(0,ROUND(ROUND(Долги!$D$19-SUM($AL143:$AU143),2)-(SUM($H143:M143)-SUM($AL143:AQ143)),2)))</f>
        <v>0.0</v>
      </c>
      <c r="O143" s="31">
        <f>AS143+MIN(Y142+AI143-AS143,MAX(0,ROUND(ROUND(Долги!$D$19-SUM($AL143:$AU143),2)-(SUM($H143:N143)-SUM($AL143:AR143)),2)))</f>
        <v>0.0</v>
      </c>
      <c r="P143" s="31">
        <f>AT143+MIN(Z142+AJ143-AT143,MAX(0,ROUND(ROUND(Долги!$D$19-SUM($AL143:$AU143),2)-(SUM($H143:O143)-SUM($AL143:AS143)),2)))</f>
        <v>0.0</v>
      </c>
      <c r="Q143" s="31">
        <f>AU143+MIN(AA142+AK143-AU143,MAX(0,ROUND(ROUND(Долги!$D$19-SUM($AL143:$AU143),2)-(SUM($H143:P143)-SUM($AL143:AT143)),2)))</f>
        <v>0.0</v>
      </c>
      <c r="R143" s="31">
        <f>IF(R142+AB143-H143&lt;=0.01,0,ROUND(R142+AB143-H143,2))</f>
        <v>0.0</v>
      </c>
      <c r="S143" s="31">
        <f>IF(S142+AC143-I143&lt;=0.01,0,ROUND(S142+AC143-I143,2))</f>
        <v>0.0</v>
      </c>
      <c r="T143" s="31">
        <f>IF(T142+AD143-J143&lt;=0.01,0,ROUND(T142+AD143-J143,2))</f>
        <v>0.0</v>
      </c>
      <c r="U143" s="31">
        <f>IF(U142+AE143-K143&lt;=0.01,0,ROUND(U142+AE143-K143,2))</f>
        <v>0.0</v>
      </c>
      <c r="V143" s="31">
        <f>IF(V142+AF143-L143&lt;=0.01,0,ROUND(V142+AF143-L143,2))</f>
        <v>0.0</v>
      </c>
      <c r="W143" s="31">
        <f>IF(W142+AG143-M143&lt;=0.01,0,ROUND(W142+AG143-M143,2))</f>
        <v>0.0</v>
      </c>
      <c r="X143" s="31">
        <f>IF(X142+AH143-N143&lt;=0.01,0,ROUND(X142+AH143-N143,2))</f>
        <v>0.0</v>
      </c>
      <c r="Y143" s="31">
        <f>IF(Y142+AI143-O143&lt;=0.01,0,ROUND(Y142+AI143-O143,2))</f>
        <v>0.0</v>
      </c>
      <c r="Z143" s="31">
        <f>IF(Z142+AJ143-P143&lt;=0.01,0,ROUND(Z142+AJ143-P143,2))</f>
        <v>0.0</v>
      </c>
      <c r="AA143" s="31">
        <f>IF(AA142+AK143-Q143&lt;=0.01,0,ROUND(AA142+AK143-Q143,2))</f>
        <v>0.0</v>
      </c>
      <c r="AB143" s="31">
        <f>ROUND(R142*AB$5/1200,2)</f>
        <v>0.0</v>
      </c>
      <c r="AC143" s="31">
        <f>ROUND(S142*AC$5/1200,2)</f>
        <v>0.0</v>
      </c>
      <c r="AD143" s="31">
        <f>ROUND(T142*AD$5/1200,2)</f>
        <v>0.0</v>
      </c>
      <c r="AE143" s="31">
        <f>ROUND(U142*AE$5/1200,2)</f>
        <v>0.0</v>
      </c>
      <c r="AF143" s="31">
        <f>ROUND(V142*AF$5/1200,2)</f>
        <v>0.0</v>
      </c>
      <c r="AG143" s="31">
        <f>ROUND(W142*AG$5/1200,2)</f>
        <v>0.0</v>
      </c>
      <c r="AH143" s="31">
        <f>ROUND(X142*AH$5/1200,2)</f>
        <v>0.0</v>
      </c>
      <c r="AI143" s="31">
        <f>ROUND(Y142*AI$5/1200,2)</f>
        <v>0.0</v>
      </c>
      <c r="AJ143" s="31">
        <f>ROUND(Z142*AJ$5/1200,2)</f>
        <v>0.0</v>
      </c>
      <c r="AK143" s="31">
        <f>ROUND(AA142*AK$5/1200,2)</f>
        <v>0.0</v>
      </c>
      <c r="AL143" s="31">
        <f>MIN(AL$5,R142+AB143)</f>
        <v>0.0</v>
      </c>
      <c r="AM143" s="31">
        <f>MIN(AM$5,S142+AC143)</f>
        <v>0.0</v>
      </c>
      <c r="AN143" s="31">
        <f>MIN(AN$5,T142+AD143)</f>
        <v>0.0</v>
      </c>
      <c r="AO143" s="31">
        <f>MIN(AO$5,U142+AE143)</f>
        <v>0.0</v>
      </c>
      <c r="AP143" s="31">
        <f>MIN(AP$5,V142+AF143)</f>
        <v>0.0</v>
      </c>
      <c r="AQ143" s="31">
        <f>MIN(AQ$5,W142+AG143)</f>
        <v>0.0</v>
      </c>
      <c r="AR143" s="31">
        <f>MIN(AR$5,X142+AH143)</f>
        <v>0.0</v>
      </c>
      <c r="AS143" s="31">
        <f>MIN(AS$5,Y142+AI143)</f>
        <v>0.0</v>
      </c>
      <c r="AT143" s="31">
        <f>MIN(AT$5,Z142+AJ143)</f>
        <v>0.0</v>
      </c>
      <c r="AU143" s="31">
        <f>MIN(AU$5,AA142+AK143)</f>
        <v>0.0</v>
      </c>
    </row>
    <row r="144">
      <c r="A144" s="25" t="str">
        <f>IF(F143&gt;0.005,139,"")</f>
        <v/>
      </c>
      <c r="B144" s="33" t="str">
        <f>IF(A144="","",EDATE(Долги!$D$5,138))</f>
        <v/>
      </c>
      <c r="C144" s="31">
        <f>SUM(H144:Q144)</f>
        <v>0.0</v>
      </c>
      <c r="D144" s="31">
        <f>SUM(AB144:AK144)</f>
        <v>0.0</v>
      </c>
      <c r="E144" s="31">
        <f>C144-D144</f>
        <v>0.0</v>
      </c>
      <c r="F144" s="31">
        <f>SUM(R144:AA144)</f>
        <v>0.0</v>
      </c>
      <c r="G144" s="34" t="str">
        <f>IF(OR(A144="",$F$5&lt;=0),"",REPT("█",ROUND(20*F144/$F$5,0)))</f>
        <v/>
      </c>
      <c r="H144" s="31">
        <f>AL144+MIN(R143+AB144-AL144,MAX(0,ROUND(Долги!$D$19-SUM($AL144:$AU144),2)))</f>
        <v>0.0</v>
      </c>
      <c r="I144" s="31">
        <f>AM144+MIN(S143+AC144-AM144,MAX(0,ROUND(ROUND(Долги!$D$19-SUM($AL144:$AU144),2)-(SUM($H144:H144)-SUM($AL144:AL144)),2)))</f>
        <v>0.0</v>
      </c>
      <c r="J144" s="31">
        <f>AN144+MIN(T143+AD144-AN144,MAX(0,ROUND(ROUND(Долги!$D$19-SUM($AL144:$AU144),2)-(SUM($H144:I144)-SUM($AL144:AM144)),2)))</f>
        <v>0.0</v>
      </c>
      <c r="K144" s="31">
        <f>AO144+MIN(U143+AE144-AO144,MAX(0,ROUND(ROUND(Долги!$D$19-SUM($AL144:$AU144),2)-(SUM($H144:J144)-SUM($AL144:AN144)),2)))</f>
        <v>0.0</v>
      </c>
      <c r="L144" s="31">
        <f>AP144+MIN(V143+AF144-AP144,MAX(0,ROUND(ROUND(Долги!$D$19-SUM($AL144:$AU144),2)-(SUM($H144:K144)-SUM($AL144:AO144)),2)))</f>
        <v>0.0</v>
      </c>
      <c r="M144" s="31">
        <f>AQ144+MIN(W143+AG144-AQ144,MAX(0,ROUND(ROUND(Долги!$D$19-SUM($AL144:$AU144),2)-(SUM($H144:L144)-SUM($AL144:AP144)),2)))</f>
        <v>0.0</v>
      </c>
      <c r="N144" s="31">
        <f>AR144+MIN(X143+AH144-AR144,MAX(0,ROUND(ROUND(Долги!$D$19-SUM($AL144:$AU144),2)-(SUM($H144:M144)-SUM($AL144:AQ144)),2)))</f>
        <v>0.0</v>
      </c>
      <c r="O144" s="31">
        <f>AS144+MIN(Y143+AI144-AS144,MAX(0,ROUND(ROUND(Долги!$D$19-SUM($AL144:$AU144),2)-(SUM($H144:N144)-SUM($AL144:AR144)),2)))</f>
        <v>0.0</v>
      </c>
      <c r="P144" s="31">
        <f>AT144+MIN(Z143+AJ144-AT144,MAX(0,ROUND(ROUND(Долги!$D$19-SUM($AL144:$AU144),2)-(SUM($H144:O144)-SUM($AL144:AS144)),2)))</f>
        <v>0.0</v>
      </c>
      <c r="Q144" s="31">
        <f>AU144+MIN(AA143+AK144-AU144,MAX(0,ROUND(ROUND(Долги!$D$19-SUM($AL144:$AU144),2)-(SUM($H144:P144)-SUM($AL144:AT144)),2)))</f>
        <v>0.0</v>
      </c>
      <c r="R144" s="31">
        <f>IF(R143+AB144-H144&lt;=0.01,0,ROUND(R143+AB144-H144,2))</f>
        <v>0.0</v>
      </c>
      <c r="S144" s="31">
        <f>IF(S143+AC144-I144&lt;=0.01,0,ROUND(S143+AC144-I144,2))</f>
        <v>0.0</v>
      </c>
      <c r="T144" s="31">
        <f>IF(T143+AD144-J144&lt;=0.01,0,ROUND(T143+AD144-J144,2))</f>
        <v>0.0</v>
      </c>
      <c r="U144" s="31">
        <f>IF(U143+AE144-K144&lt;=0.01,0,ROUND(U143+AE144-K144,2))</f>
        <v>0.0</v>
      </c>
      <c r="V144" s="31">
        <f>IF(V143+AF144-L144&lt;=0.01,0,ROUND(V143+AF144-L144,2))</f>
        <v>0.0</v>
      </c>
      <c r="W144" s="31">
        <f>IF(W143+AG144-M144&lt;=0.01,0,ROUND(W143+AG144-M144,2))</f>
        <v>0.0</v>
      </c>
      <c r="X144" s="31">
        <f>IF(X143+AH144-N144&lt;=0.01,0,ROUND(X143+AH144-N144,2))</f>
        <v>0.0</v>
      </c>
      <c r="Y144" s="31">
        <f>IF(Y143+AI144-O144&lt;=0.01,0,ROUND(Y143+AI144-O144,2))</f>
        <v>0.0</v>
      </c>
      <c r="Z144" s="31">
        <f>IF(Z143+AJ144-P144&lt;=0.01,0,ROUND(Z143+AJ144-P144,2))</f>
        <v>0.0</v>
      </c>
      <c r="AA144" s="31">
        <f>IF(AA143+AK144-Q144&lt;=0.01,0,ROUND(AA143+AK144-Q144,2))</f>
        <v>0.0</v>
      </c>
      <c r="AB144" s="31">
        <f>ROUND(R143*AB$5/1200,2)</f>
        <v>0.0</v>
      </c>
      <c r="AC144" s="31">
        <f>ROUND(S143*AC$5/1200,2)</f>
        <v>0.0</v>
      </c>
      <c r="AD144" s="31">
        <f>ROUND(T143*AD$5/1200,2)</f>
        <v>0.0</v>
      </c>
      <c r="AE144" s="31">
        <f>ROUND(U143*AE$5/1200,2)</f>
        <v>0.0</v>
      </c>
      <c r="AF144" s="31">
        <f>ROUND(V143*AF$5/1200,2)</f>
        <v>0.0</v>
      </c>
      <c r="AG144" s="31">
        <f>ROUND(W143*AG$5/1200,2)</f>
        <v>0.0</v>
      </c>
      <c r="AH144" s="31">
        <f>ROUND(X143*AH$5/1200,2)</f>
        <v>0.0</v>
      </c>
      <c r="AI144" s="31">
        <f>ROUND(Y143*AI$5/1200,2)</f>
        <v>0.0</v>
      </c>
      <c r="AJ144" s="31">
        <f>ROUND(Z143*AJ$5/1200,2)</f>
        <v>0.0</v>
      </c>
      <c r="AK144" s="31">
        <f>ROUND(AA143*AK$5/1200,2)</f>
        <v>0.0</v>
      </c>
      <c r="AL144" s="31">
        <f>MIN(AL$5,R143+AB144)</f>
        <v>0.0</v>
      </c>
      <c r="AM144" s="31">
        <f>MIN(AM$5,S143+AC144)</f>
        <v>0.0</v>
      </c>
      <c r="AN144" s="31">
        <f>MIN(AN$5,T143+AD144)</f>
        <v>0.0</v>
      </c>
      <c r="AO144" s="31">
        <f>MIN(AO$5,U143+AE144)</f>
        <v>0.0</v>
      </c>
      <c r="AP144" s="31">
        <f>MIN(AP$5,V143+AF144)</f>
        <v>0.0</v>
      </c>
      <c r="AQ144" s="31">
        <f>MIN(AQ$5,W143+AG144)</f>
        <v>0.0</v>
      </c>
      <c r="AR144" s="31">
        <f>MIN(AR$5,X143+AH144)</f>
        <v>0.0</v>
      </c>
      <c r="AS144" s="31">
        <f>MIN(AS$5,Y143+AI144)</f>
        <v>0.0</v>
      </c>
      <c r="AT144" s="31">
        <f>MIN(AT$5,Z143+AJ144)</f>
        <v>0.0</v>
      </c>
      <c r="AU144" s="31">
        <f>MIN(AU$5,AA143+AK144)</f>
        <v>0.0</v>
      </c>
    </row>
    <row r="145">
      <c r="A145" s="25" t="str">
        <f>IF(F144&gt;0.005,140,"")</f>
        <v/>
      </c>
      <c r="B145" s="33" t="str">
        <f>IF(A145="","",EDATE(Долги!$D$5,139))</f>
        <v/>
      </c>
      <c r="C145" s="31">
        <f>SUM(H145:Q145)</f>
        <v>0.0</v>
      </c>
      <c r="D145" s="31">
        <f>SUM(AB145:AK145)</f>
        <v>0.0</v>
      </c>
      <c r="E145" s="31">
        <f>C145-D145</f>
        <v>0.0</v>
      </c>
      <c r="F145" s="31">
        <f>SUM(R145:AA145)</f>
        <v>0.0</v>
      </c>
      <c r="G145" s="34" t="str">
        <f>IF(OR(A145="",$F$5&lt;=0),"",REPT("█",ROUND(20*F145/$F$5,0)))</f>
        <v/>
      </c>
      <c r="H145" s="31">
        <f>AL145+MIN(R144+AB145-AL145,MAX(0,ROUND(Долги!$D$19-SUM($AL145:$AU145),2)))</f>
        <v>0.0</v>
      </c>
      <c r="I145" s="31">
        <f>AM145+MIN(S144+AC145-AM145,MAX(0,ROUND(ROUND(Долги!$D$19-SUM($AL145:$AU145),2)-(SUM($H145:H145)-SUM($AL145:AL145)),2)))</f>
        <v>0.0</v>
      </c>
      <c r="J145" s="31">
        <f>AN145+MIN(T144+AD145-AN145,MAX(0,ROUND(ROUND(Долги!$D$19-SUM($AL145:$AU145),2)-(SUM($H145:I145)-SUM($AL145:AM145)),2)))</f>
        <v>0.0</v>
      </c>
      <c r="K145" s="31">
        <f>AO145+MIN(U144+AE145-AO145,MAX(0,ROUND(ROUND(Долги!$D$19-SUM($AL145:$AU145),2)-(SUM($H145:J145)-SUM($AL145:AN145)),2)))</f>
        <v>0.0</v>
      </c>
      <c r="L145" s="31">
        <f>AP145+MIN(V144+AF145-AP145,MAX(0,ROUND(ROUND(Долги!$D$19-SUM($AL145:$AU145),2)-(SUM($H145:K145)-SUM($AL145:AO145)),2)))</f>
        <v>0.0</v>
      </c>
      <c r="M145" s="31">
        <f>AQ145+MIN(W144+AG145-AQ145,MAX(0,ROUND(ROUND(Долги!$D$19-SUM($AL145:$AU145),2)-(SUM($H145:L145)-SUM($AL145:AP145)),2)))</f>
        <v>0.0</v>
      </c>
      <c r="N145" s="31">
        <f>AR145+MIN(X144+AH145-AR145,MAX(0,ROUND(ROUND(Долги!$D$19-SUM($AL145:$AU145),2)-(SUM($H145:M145)-SUM($AL145:AQ145)),2)))</f>
        <v>0.0</v>
      </c>
      <c r="O145" s="31">
        <f>AS145+MIN(Y144+AI145-AS145,MAX(0,ROUND(ROUND(Долги!$D$19-SUM($AL145:$AU145),2)-(SUM($H145:N145)-SUM($AL145:AR145)),2)))</f>
        <v>0.0</v>
      </c>
      <c r="P145" s="31">
        <f>AT145+MIN(Z144+AJ145-AT145,MAX(0,ROUND(ROUND(Долги!$D$19-SUM($AL145:$AU145),2)-(SUM($H145:O145)-SUM($AL145:AS145)),2)))</f>
        <v>0.0</v>
      </c>
      <c r="Q145" s="31">
        <f>AU145+MIN(AA144+AK145-AU145,MAX(0,ROUND(ROUND(Долги!$D$19-SUM($AL145:$AU145),2)-(SUM($H145:P145)-SUM($AL145:AT145)),2)))</f>
        <v>0.0</v>
      </c>
      <c r="R145" s="31">
        <f>IF(R144+AB145-H145&lt;=0.01,0,ROUND(R144+AB145-H145,2))</f>
        <v>0.0</v>
      </c>
      <c r="S145" s="31">
        <f>IF(S144+AC145-I145&lt;=0.01,0,ROUND(S144+AC145-I145,2))</f>
        <v>0.0</v>
      </c>
      <c r="T145" s="31">
        <f>IF(T144+AD145-J145&lt;=0.01,0,ROUND(T144+AD145-J145,2))</f>
        <v>0.0</v>
      </c>
      <c r="U145" s="31">
        <f>IF(U144+AE145-K145&lt;=0.01,0,ROUND(U144+AE145-K145,2))</f>
        <v>0.0</v>
      </c>
      <c r="V145" s="31">
        <f>IF(V144+AF145-L145&lt;=0.01,0,ROUND(V144+AF145-L145,2))</f>
        <v>0.0</v>
      </c>
      <c r="W145" s="31">
        <f>IF(W144+AG145-M145&lt;=0.01,0,ROUND(W144+AG145-M145,2))</f>
        <v>0.0</v>
      </c>
      <c r="X145" s="31">
        <f>IF(X144+AH145-N145&lt;=0.01,0,ROUND(X144+AH145-N145,2))</f>
        <v>0.0</v>
      </c>
      <c r="Y145" s="31">
        <f>IF(Y144+AI145-O145&lt;=0.01,0,ROUND(Y144+AI145-O145,2))</f>
        <v>0.0</v>
      </c>
      <c r="Z145" s="31">
        <f>IF(Z144+AJ145-P145&lt;=0.01,0,ROUND(Z144+AJ145-P145,2))</f>
        <v>0.0</v>
      </c>
      <c r="AA145" s="31">
        <f>IF(AA144+AK145-Q145&lt;=0.01,0,ROUND(AA144+AK145-Q145,2))</f>
        <v>0.0</v>
      </c>
      <c r="AB145" s="31">
        <f>ROUND(R144*AB$5/1200,2)</f>
        <v>0.0</v>
      </c>
      <c r="AC145" s="31">
        <f>ROUND(S144*AC$5/1200,2)</f>
        <v>0.0</v>
      </c>
      <c r="AD145" s="31">
        <f>ROUND(T144*AD$5/1200,2)</f>
        <v>0.0</v>
      </c>
      <c r="AE145" s="31">
        <f>ROUND(U144*AE$5/1200,2)</f>
        <v>0.0</v>
      </c>
      <c r="AF145" s="31">
        <f>ROUND(V144*AF$5/1200,2)</f>
        <v>0.0</v>
      </c>
      <c r="AG145" s="31">
        <f>ROUND(W144*AG$5/1200,2)</f>
        <v>0.0</v>
      </c>
      <c r="AH145" s="31">
        <f>ROUND(X144*AH$5/1200,2)</f>
        <v>0.0</v>
      </c>
      <c r="AI145" s="31">
        <f>ROUND(Y144*AI$5/1200,2)</f>
        <v>0.0</v>
      </c>
      <c r="AJ145" s="31">
        <f>ROUND(Z144*AJ$5/1200,2)</f>
        <v>0.0</v>
      </c>
      <c r="AK145" s="31">
        <f>ROUND(AA144*AK$5/1200,2)</f>
        <v>0.0</v>
      </c>
      <c r="AL145" s="31">
        <f>MIN(AL$5,R144+AB145)</f>
        <v>0.0</v>
      </c>
      <c r="AM145" s="31">
        <f>MIN(AM$5,S144+AC145)</f>
        <v>0.0</v>
      </c>
      <c r="AN145" s="31">
        <f>MIN(AN$5,T144+AD145)</f>
        <v>0.0</v>
      </c>
      <c r="AO145" s="31">
        <f>MIN(AO$5,U144+AE145)</f>
        <v>0.0</v>
      </c>
      <c r="AP145" s="31">
        <f>MIN(AP$5,V144+AF145)</f>
        <v>0.0</v>
      </c>
      <c r="AQ145" s="31">
        <f>MIN(AQ$5,W144+AG145)</f>
        <v>0.0</v>
      </c>
      <c r="AR145" s="31">
        <f>MIN(AR$5,X144+AH145)</f>
        <v>0.0</v>
      </c>
      <c r="AS145" s="31">
        <f>MIN(AS$5,Y144+AI145)</f>
        <v>0.0</v>
      </c>
      <c r="AT145" s="31">
        <f>MIN(AT$5,Z144+AJ145)</f>
        <v>0.0</v>
      </c>
      <c r="AU145" s="31">
        <f>MIN(AU$5,AA144+AK145)</f>
        <v>0.0</v>
      </c>
    </row>
    <row r="146">
      <c r="A146" s="25" t="str">
        <f>IF(F145&gt;0.005,141,"")</f>
        <v/>
      </c>
      <c r="B146" s="33" t="str">
        <f>IF(A146="","",EDATE(Долги!$D$5,140))</f>
        <v/>
      </c>
      <c r="C146" s="31">
        <f>SUM(H146:Q146)</f>
        <v>0.0</v>
      </c>
      <c r="D146" s="31">
        <f>SUM(AB146:AK146)</f>
        <v>0.0</v>
      </c>
      <c r="E146" s="31">
        <f>C146-D146</f>
        <v>0.0</v>
      </c>
      <c r="F146" s="31">
        <f>SUM(R146:AA146)</f>
        <v>0.0</v>
      </c>
      <c r="G146" s="34" t="str">
        <f>IF(OR(A146="",$F$5&lt;=0),"",REPT("█",ROUND(20*F146/$F$5,0)))</f>
        <v/>
      </c>
      <c r="H146" s="31">
        <f>AL146+MIN(R145+AB146-AL146,MAX(0,ROUND(Долги!$D$19-SUM($AL146:$AU146),2)))</f>
        <v>0.0</v>
      </c>
      <c r="I146" s="31">
        <f>AM146+MIN(S145+AC146-AM146,MAX(0,ROUND(ROUND(Долги!$D$19-SUM($AL146:$AU146),2)-(SUM($H146:H146)-SUM($AL146:AL146)),2)))</f>
        <v>0.0</v>
      </c>
      <c r="J146" s="31">
        <f>AN146+MIN(T145+AD146-AN146,MAX(0,ROUND(ROUND(Долги!$D$19-SUM($AL146:$AU146),2)-(SUM($H146:I146)-SUM($AL146:AM146)),2)))</f>
        <v>0.0</v>
      </c>
      <c r="K146" s="31">
        <f>AO146+MIN(U145+AE146-AO146,MAX(0,ROUND(ROUND(Долги!$D$19-SUM($AL146:$AU146),2)-(SUM($H146:J146)-SUM($AL146:AN146)),2)))</f>
        <v>0.0</v>
      </c>
      <c r="L146" s="31">
        <f>AP146+MIN(V145+AF146-AP146,MAX(0,ROUND(ROUND(Долги!$D$19-SUM($AL146:$AU146),2)-(SUM($H146:K146)-SUM($AL146:AO146)),2)))</f>
        <v>0.0</v>
      </c>
      <c r="M146" s="31">
        <f>AQ146+MIN(W145+AG146-AQ146,MAX(0,ROUND(ROUND(Долги!$D$19-SUM($AL146:$AU146),2)-(SUM($H146:L146)-SUM($AL146:AP146)),2)))</f>
        <v>0.0</v>
      </c>
      <c r="N146" s="31">
        <f>AR146+MIN(X145+AH146-AR146,MAX(0,ROUND(ROUND(Долги!$D$19-SUM($AL146:$AU146),2)-(SUM($H146:M146)-SUM($AL146:AQ146)),2)))</f>
        <v>0.0</v>
      </c>
      <c r="O146" s="31">
        <f>AS146+MIN(Y145+AI146-AS146,MAX(0,ROUND(ROUND(Долги!$D$19-SUM($AL146:$AU146),2)-(SUM($H146:N146)-SUM($AL146:AR146)),2)))</f>
        <v>0.0</v>
      </c>
      <c r="P146" s="31">
        <f>AT146+MIN(Z145+AJ146-AT146,MAX(0,ROUND(ROUND(Долги!$D$19-SUM($AL146:$AU146),2)-(SUM($H146:O146)-SUM($AL146:AS146)),2)))</f>
        <v>0.0</v>
      </c>
      <c r="Q146" s="31">
        <f>AU146+MIN(AA145+AK146-AU146,MAX(0,ROUND(ROUND(Долги!$D$19-SUM($AL146:$AU146),2)-(SUM($H146:P146)-SUM($AL146:AT146)),2)))</f>
        <v>0.0</v>
      </c>
      <c r="R146" s="31">
        <f>IF(R145+AB146-H146&lt;=0.01,0,ROUND(R145+AB146-H146,2))</f>
        <v>0.0</v>
      </c>
      <c r="S146" s="31">
        <f>IF(S145+AC146-I146&lt;=0.01,0,ROUND(S145+AC146-I146,2))</f>
        <v>0.0</v>
      </c>
      <c r="T146" s="31">
        <f>IF(T145+AD146-J146&lt;=0.01,0,ROUND(T145+AD146-J146,2))</f>
        <v>0.0</v>
      </c>
      <c r="U146" s="31">
        <f>IF(U145+AE146-K146&lt;=0.01,0,ROUND(U145+AE146-K146,2))</f>
        <v>0.0</v>
      </c>
      <c r="V146" s="31">
        <f>IF(V145+AF146-L146&lt;=0.01,0,ROUND(V145+AF146-L146,2))</f>
        <v>0.0</v>
      </c>
      <c r="W146" s="31">
        <f>IF(W145+AG146-M146&lt;=0.01,0,ROUND(W145+AG146-M146,2))</f>
        <v>0.0</v>
      </c>
      <c r="X146" s="31">
        <f>IF(X145+AH146-N146&lt;=0.01,0,ROUND(X145+AH146-N146,2))</f>
        <v>0.0</v>
      </c>
      <c r="Y146" s="31">
        <f>IF(Y145+AI146-O146&lt;=0.01,0,ROUND(Y145+AI146-O146,2))</f>
        <v>0.0</v>
      </c>
      <c r="Z146" s="31">
        <f>IF(Z145+AJ146-P146&lt;=0.01,0,ROUND(Z145+AJ146-P146,2))</f>
        <v>0.0</v>
      </c>
      <c r="AA146" s="31">
        <f>IF(AA145+AK146-Q146&lt;=0.01,0,ROUND(AA145+AK146-Q146,2))</f>
        <v>0.0</v>
      </c>
      <c r="AB146" s="31">
        <f>ROUND(R145*AB$5/1200,2)</f>
        <v>0.0</v>
      </c>
      <c r="AC146" s="31">
        <f>ROUND(S145*AC$5/1200,2)</f>
        <v>0.0</v>
      </c>
      <c r="AD146" s="31">
        <f>ROUND(T145*AD$5/1200,2)</f>
        <v>0.0</v>
      </c>
      <c r="AE146" s="31">
        <f>ROUND(U145*AE$5/1200,2)</f>
        <v>0.0</v>
      </c>
      <c r="AF146" s="31">
        <f>ROUND(V145*AF$5/1200,2)</f>
        <v>0.0</v>
      </c>
      <c r="AG146" s="31">
        <f>ROUND(W145*AG$5/1200,2)</f>
        <v>0.0</v>
      </c>
      <c r="AH146" s="31">
        <f>ROUND(X145*AH$5/1200,2)</f>
        <v>0.0</v>
      </c>
      <c r="AI146" s="31">
        <f>ROUND(Y145*AI$5/1200,2)</f>
        <v>0.0</v>
      </c>
      <c r="AJ146" s="31">
        <f>ROUND(Z145*AJ$5/1200,2)</f>
        <v>0.0</v>
      </c>
      <c r="AK146" s="31">
        <f>ROUND(AA145*AK$5/1200,2)</f>
        <v>0.0</v>
      </c>
      <c r="AL146" s="31">
        <f>MIN(AL$5,R145+AB146)</f>
        <v>0.0</v>
      </c>
      <c r="AM146" s="31">
        <f>MIN(AM$5,S145+AC146)</f>
        <v>0.0</v>
      </c>
      <c r="AN146" s="31">
        <f>MIN(AN$5,T145+AD146)</f>
        <v>0.0</v>
      </c>
      <c r="AO146" s="31">
        <f>MIN(AO$5,U145+AE146)</f>
        <v>0.0</v>
      </c>
      <c r="AP146" s="31">
        <f>MIN(AP$5,V145+AF146)</f>
        <v>0.0</v>
      </c>
      <c r="AQ146" s="31">
        <f>MIN(AQ$5,W145+AG146)</f>
        <v>0.0</v>
      </c>
      <c r="AR146" s="31">
        <f>MIN(AR$5,X145+AH146)</f>
        <v>0.0</v>
      </c>
      <c r="AS146" s="31">
        <f>MIN(AS$5,Y145+AI146)</f>
        <v>0.0</v>
      </c>
      <c r="AT146" s="31">
        <f>MIN(AT$5,Z145+AJ146)</f>
        <v>0.0</v>
      </c>
      <c r="AU146" s="31">
        <f>MIN(AU$5,AA145+AK146)</f>
        <v>0.0</v>
      </c>
    </row>
    <row r="147">
      <c r="A147" s="25" t="str">
        <f>IF(F146&gt;0.005,142,"")</f>
        <v/>
      </c>
      <c r="B147" s="33" t="str">
        <f>IF(A147="","",EDATE(Долги!$D$5,141))</f>
        <v/>
      </c>
      <c r="C147" s="31">
        <f>SUM(H147:Q147)</f>
        <v>0.0</v>
      </c>
      <c r="D147" s="31">
        <f>SUM(AB147:AK147)</f>
        <v>0.0</v>
      </c>
      <c r="E147" s="31">
        <f>C147-D147</f>
        <v>0.0</v>
      </c>
      <c r="F147" s="31">
        <f>SUM(R147:AA147)</f>
        <v>0.0</v>
      </c>
      <c r="G147" s="34" t="str">
        <f>IF(OR(A147="",$F$5&lt;=0),"",REPT("█",ROUND(20*F147/$F$5,0)))</f>
        <v/>
      </c>
      <c r="H147" s="31">
        <f>AL147+MIN(R146+AB147-AL147,MAX(0,ROUND(Долги!$D$19-SUM($AL147:$AU147),2)))</f>
        <v>0.0</v>
      </c>
      <c r="I147" s="31">
        <f>AM147+MIN(S146+AC147-AM147,MAX(0,ROUND(ROUND(Долги!$D$19-SUM($AL147:$AU147),2)-(SUM($H147:H147)-SUM($AL147:AL147)),2)))</f>
        <v>0.0</v>
      </c>
      <c r="J147" s="31">
        <f>AN147+MIN(T146+AD147-AN147,MAX(0,ROUND(ROUND(Долги!$D$19-SUM($AL147:$AU147),2)-(SUM($H147:I147)-SUM($AL147:AM147)),2)))</f>
        <v>0.0</v>
      </c>
      <c r="K147" s="31">
        <f>AO147+MIN(U146+AE147-AO147,MAX(0,ROUND(ROUND(Долги!$D$19-SUM($AL147:$AU147),2)-(SUM($H147:J147)-SUM($AL147:AN147)),2)))</f>
        <v>0.0</v>
      </c>
      <c r="L147" s="31">
        <f>AP147+MIN(V146+AF147-AP147,MAX(0,ROUND(ROUND(Долги!$D$19-SUM($AL147:$AU147),2)-(SUM($H147:K147)-SUM($AL147:AO147)),2)))</f>
        <v>0.0</v>
      </c>
      <c r="M147" s="31">
        <f>AQ147+MIN(W146+AG147-AQ147,MAX(0,ROUND(ROUND(Долги!$D$19-SUM($AL147:$AU147),2)-(SUM($H147:L147)-SUM($AL147:AP147)),2)))</f>
        <v>0.0</v>
      </c>
      <c r="N147" s="31">
        <f>AR147+MIN(X146+AH147-AR147,MAX(0,ROUND(ROUND(Долги!$D$19-SUM($AL147:$AU147),2)-(SUM($H147:M147)-SUM($AL147:AQ147)),2)))</f>
        <v>0.0</v>
      </c>
      <c r="O147" s="31">
        <f>AS147+MIN(Y146+AI147-AS147,MAX(0,ROUND(ROUND(Долги!$D$19-SUM($AL147:$AU147),2)-(SUM($H147:N147)-SUM($AL147:AR147)),2)))</f>
        <v>0.0</v>
      </c>
      <c r="P147" s="31">
        <f>AT147+MIN(Z146+AJ147-AT147,MAX(0,ROUND(ROUND(Долги!$D$19-SUM($AL147:$AU147),2)-(SUM($H147:O147)-SUM($AL147:AS147)),2)))</f>
        <v>0.0</v>
      </c>
      <c r="Q147" s="31">
        <f>AU147+MIN(AA146+AK147-AU147,MAX(0,ROUND(ROUND(Долги!$D$19-SUM($AL147:$AU147),2)-(SUM($H147:P147)-SUM($AL147:AT147)),2)))</f>
        <v>0.0</v>
      </c>
      <c r="R147" s="31">
        <f>IF(R146+AB147-H147&lt;=0.01,0,ROUND(R146+AB147-H147,2))</f>
        <v>0.0</v>
      </c>
      <c r="S147" s="31">
        <f>IF(S146+AC147-I147&lt;=0.01,0,ROUND(S146+AC147-I147,2))</f>
        <v>0.0</v>
      </c>
      <c r="T147" s="31">
        <f>IF(T146+AD147-J147&lt;=0.01,0,ROUND(T146+AD147-J147,2))</f>
        <v>0.0</v>
      </c>
      <c r="U147" s="31">
        <f>IF(U146+AE147-K147&lt;=0.01,0,ROUND(U146+AE147-K147,2))</f>
        <v>0.0</v>
      </c>
      <c r="V147" s="31">
        <f>IF(V146+AF147-L147&lt;=0.01,0,ROUND(V146+AF147-L147,2))</f>
        <v>0.0</v>
      </c>
      <c r="W147" s="31">
        <f>IF(W146+AG147-M147&lt;=0.01,0,ROUND(W146+AG147-M147,2))</f>
        <v>0.0</v>
      </c>
      <c r="X147" s="31">
        <f>IF(X146+AH147-N147&lt;=0.01,0,ROUND(X146+AH147-N147,2))</f>
        <v>0.0</v>
      </c>
      <c r="Y147" s="31">
        <f>IF(Y146+AI147-O147&lt;=0.01,0,ROUND(Y146+AI147-O147,2))</f>
        <v>0.0</v>
      </c>
      <c r="Z147" s="31">
        <f>IF(Z146+AJ147-P147&lt;=0.01,0,ROUND(Z146+AJ147-P147,2))</f>
        <v>0.0</v>
      </c>
      <c r="AA147" s="31">
        <f>IF(AA146+AK147-Q147&lt;=0.01,0,ROUND(AA146+AK147-Q147,2))</f>
        <v>0.0</v>
      </c>
      <c r="AB147" s="31">
        <f>ROUND(R146*AB$5/1200,2)</f>
        <v>0.0</v>
      </c>
      <c r="AC147" s="31">
        <f>ROUND(S146*AC$5/1200,2)</f>
        <v>0.0</v>
      </c>
      <c r="AD147" s="31">
        <f>ROUND(T146*AD$5/1200,2)</f>
        <v>0.0</v>
      </c>
      <c r="AE147" s="31">
        <f>ROUND(U146*AE$5/1200,2)</f>
        <v>0.0</v>
      </c>
      <c r="AF147" s="31">
        <f>ROUND(V146*AF$5/1200,2)</f>
        <v>0.0</v>
      </c>
      <c r="AG147" s="31">
        <f>ROUND(W146*AG$5/1200,2)</f>
        <v>0.0</v>
      </c>
      <c r="AH147" s="31">
        <f>ROUND(X146*AH$5/1200,2)</f>
        <v>0.0</v>
      </c>
      <c r="AI147" s="31">
        <f>ROUND(Y146*AI$5/1200,2)</f>
        <v>0.0</v>
      </c>
      <c r="AJ147" s="31">
        <f>ROUND(Z146*AJ$5/1200,2)</f>
        <v>0.0</v>
      </c>
      <c r="AK147" s="31">
        <f>ROUND(AA146*AK$5/1200,2)</f>
        <v>0.0</v>
      </c>
      <c r="AL147" s="31">
        <f>MIN(AL$5,R146+AB147)</f>
        <v>0.0</v>
      </c>
      <c r="AM147" s="31">
        <f>MIN(AM$5,S146+AC147)</f>
        <v>0.0</v>
      </c>
      <c r="AN147" s="31">
        <f>MIN(AN$5,T146+AD147)</f>
        <v>0.0</v>
      </c>
      <c r="AO147" s="31">
        <f>MIN(AO$5,U146+AE147)</f>
        <v>0.0</v>
      </c>
      <c r="AP147" s="31">
        <f>MIN(AP$5,V146+AF147)</f>
        <v>0.0</v>
      </c>
      <c r="AQ147" s="31">
        <f>MIN(AQ$5,W146+AG147)</f>
        <v>0.0</v>
      </c>
      <c r="AR147" s="31">
        <f>MIN(AR$5,X146+AH147)</f>
        <v>0.0</v>
      </c>
      <c r="AS147" s="31">
        <f>MIN(AS$5,Y146+AI147)</f>
        <v>0.0</v>
      </c>
      <c r="AT147" s="31">
        <f>MIN(AT$5,Z146+AJ147)</f>
        <v>0.0</v>
      </c>
      <c r="AU147" s="31">
        <f>MIN(AU$5,AA146+AK147)</f>
        <v>0.0</v>
      </c>
    </row>
    <row r="148">
      <c r="A148" s="25" t="str">
        <f>IF(F147&gt;0.005,143,"")</f>
        <v/>
      </c>
      <c r="B148" s="33" t="str">
        <f>IF(A148="","",EDATE(Долги!$D$5,142))</f>
        <v/>
      </c>
      <c r="C148" s="31">
        <f>SUM(H148:Q148)</f>
        <v>0.0</v>
      </c>
      <c r="D148" s="31">
        <f>SUM(AB148:AK148)</f>
        <v>0.0</v>
      </c>
      <c r="E148" s="31">
        <f>C148-D148</f>
        <v>0.0</v>
      </c>
      <c r="F148" s="31">
        <f>SUM(R148:AA148)</f>
        <v>0.0</v>
      </c>
      <c r="G148" s="34" t="str">
        <f>IF(OR(A148="",$F$5&lt;=0),"",REPT("█",ROUND(20*F148/$F$5,0)))</f>
        <v/>
      </c>
      <c r="H148" s="31">
        <f>AL148+MIN(R147+AB148-AL148,MAX(0,ROUND(Долги!$D$19-SUM($AL148:$AU148),2)))</f>
        <v>0.0</v>
      </c>
      <c r="I148" s="31">
        <f>AM148+MIN(S147+AC148-AM148,MAX(0,ROUND(ROUND(Долги!$D$19-SUM($AL148:$AU148),2)-(SUM($H148:H148)-SUM($AL148:AL148)),2)))</f>
        <v>0.0</v>
      </c>
      <c r="J148" s="31">
        <f>AN148+MIN(T147+AD148-AN148,MAX(0,ROUND(ROUND(Долги!$D$19-SUM($AL148:$AU148),2)-(SUM($H148:I148)-SUM($AL148:AM148)),2)))</f>
        <v>0.0</v>
      </c>
      <c r="K148" s="31">
        <f>AO148+MIN(U147+AE148-AO148,MAX(0,ROUND(ROUND(Долги!$D$19-SUM($AL148:$AU148),2)-(SUM($H148:J148)-SUM($AL148:AN148)),2)))</f>
        <v>0.0</v>
      </c>
      <c r="L148" s="31">
        <f>AP148+MIN(V147+AF148-AP148,MAX(0,ROUND(ROUND(Долги!$D$19-SUM($AL148:$AU148),2)-(SUM($H148:K148)-SUM($AL148:AO148)),2)))</f>
        <v>0.0</v>
      </c>
      <c r="M148" s="31">
        <f>AQ148+MIN(W147+AG148-AQ148,MAX(0,ROUND(ROUND(Долги!$D$19-SUM($AL148:$AU148),2)-(SUM($H148:L148)-SUM($AL148:AP148)),2)))</f>
        <v>0.0</v>
      </c>
      <c r="N148" s="31">
        <f>AR148+MIN(X147+AH148-AR148,MAX(0,ROUND(ROUND(Долги!$D$19-SUM($AL148:$AU148),2)-(SUM($H148:M148)-SUM($AL148:AQ148)),2)))</f>
        <v>0.0</v>
      </c>
      <c r="O148" s="31">
        <f>AS148+MIN(Y147+AI148-AS148,MAX(0,ROUND(ROUND(Долги!$D$19-SUM($AL148:$AU148),2)-(SUM($H148:N148)-SUM($AL148:AR148)),2)))</f>
        <v>0.0</v>
      </c>
      <c r="P148" s="31">
        <f>AT148+MIN(Z147+AJ148-AT148,MAX(0,ROUND(ROUND(Долги!$D$19-SUM($AL148:$AU148),2)-(SUM($H148:O148)-SUM($AL148:AS148)),2)))</f>
        <v>0.0</v>
      </c>
      <c r="Q148" s="31">
        <f>AU148+MIN(AA147+AK148-AU148,MAX(0,ROUND(ROUND(Долги!$D$19-SUM($AL148:$AU148),2)-(SUM($H148:P148)-SUM($AL148:AT148)),2)))</f>
        <v>0.0</v>
      </c>
      <c r="R148" s="31">
        <f>IF(R147+AB148-H148&lt;=0.01,0,ROUND(R147+AB148-H148,2))</f>
        <v>0.0</v>
      </c>
      <c r="S148" s="31">
        <f>IF(S147+AC148-I148&lt;=0.01,0,ROUND(S147+AC148-I148,2))</f>
        <v>0.0</v>
      </c>
      <c r="T148" s="31">
        <f>IF(T147+AD148-J148&lt;=0.01,0,ROUND(T147+AD148-J148,2))</f>
        <v>0.0</v>
      </c>
      <c r="U148" s="31">
        <f>IF(U147+AE148-K148&lt;=0.01,0,ROUND(U147+AE148-K148,2))</f>
        <v>0.0</v>
      </c>
      <c r="V148" s="31">
        <f>IF(V147+AF148-L148&lt;=0.01,0,ROUND(V147+AF148-L148,2))</f>
        <v>0.0</v>
      </c>
      <c r="W148" s="31">
        <f>IF(W147+AG148-M148&lt;=0.01,0,ROUND(W147+AG148-M148,2))</f>
        <v>0.0</v>
      </c>
      <c r="X148" s="31">
        <f>IF(X147+AH148-N148&lt;=0.01,0,ROUND(X147+AH148-N148,2))</f>
        <v>0.0</v>
      </c>
      <c r="Y148" s="31">
        <f>IF(Y147+AI148-O148&lt;=0.01,0,ROUND(Y147+AI148-O148,2))</f>
        <v>0.0</v>
      </c>
      <c r="Z148" s="31">
        <f>IF(Z147+AJ148-P148&lt;=0.01,0,ROUND(Z147+AJ148-P148,2))</f>
        <v>0.0</v>
      </c>
      <c r="AA148" s="31">
        <f>IF(AA147+AK148-Q148&lt;=0.01,0,ROUND(AA147+AK148-Q148,2))</f>
        <v>0.0</v>
      </c>
      <c r="AB148" s="31">
        <f>ROUND(R147*AB$5/1200,2)</f>
        <v>0.0</v>
      </c>
      <c r="AC148" s="31">
        <f>ROUND(S147*AC$5/1200,2)</f>
        <v>0.0</v>
      </c>
      <c r="AD148" s="31">
        <f>ROUND(T147*AD$5/1200,2)</f>
        <v>0.0</v>
      </c>
      <c r="AE148" s="31">
        <f>ROUND(U147*AE$5/1200,2)</f>
        <v>0.0</v>
      </c>
      <c r="AF148" s="31">
        <f>ROUND(V147*AF$5/1200,2)</f>
        <v>0.0</v>
      </c>
      <c r="AG148" s="31">
        <f>ROUND(W147*AG$5/1200,2)</f>
        <v>0.0</v>
      </c>
      <c r="AH148" s="31">
        <f>ROUND(X147*AH$5/1200,2)</f>
        <v>0.0</v>
      </c>
      <c r="AI148" s="31">
        <f>ROUND(Y147*AI$5/1200,2)</f>
        <v>0.0</v>
      </c>
      <c r="AJ148" s="31">
        <f>ROUND(Z147*AJ$5/1200,2)</f>
        <v>0.0</v>
      </c>
      <c r="AK148" s="31">
        <f>ROUND(AA147*AK$5/1200,2)</f>
        <v>0.0</v>
      </c>
      <c r="AL148" s="31">
        <f>MIN(AL$5,R147+AB148)</f>
        <v>0.0</v>
      </c>
      <c r="AM148" s="31">
        <f>MIN(AM$5,S147+AC148)</f>
        <v>0.0</v>
      </c>
      <c r="AN148" s="31">
        <f>MIN(AN$5,T147+AD148)</f>
        <v>0.0</v>
      </c>
      <c r="AO148" s="31">
        <f>MIN(AO$5,U147+AE148)</f>
        <v>0.0</v>
      </c>
      <c r="AP148" s="31">
        <f>MIN(AP$5,V147+AF148)</f>
        <v>0.0</v>
      </c>
      <c r="AQ148" s="31">
        <f>MIN(AQ$5,W147+AG148)</f>
        <v>0.0</v>
      </c>
      <c r="AR148" s="31">
        <f>MIN(AR$5,X147+AH148)</f>
        <v>0.0</v>
      </c>
      <c r="AS148" s="31">
        <f>MIN(AS$5,Y147+AI148)</f>
        <v>0.0</v>
      </c>
      <c r="AT148" s="31">
        <f>MIN(AT$5,Z147+AJ148)</f>
        <v>0.0</v>
      </c>
      <c r="AU148" s="31">
        <f>MIN(AU$5,AA147+AK148)</f>
        <v>0.0</v>
      </c>
    </row>
    <row r="149">
      <c r="A149" s="25" t="str">
        <f>IF(F148&gt;0.005,144,"")</f>
        <v/>
      </c>
      <c r="B149" s="33" t="str">
        <f>IF(A149="","",EDATE(Долги!$D$5,143))</f>
        <v/>
      </c>
      <c r="C149" s="31">
        <f>SUM(H149:Q149)</f>
        <v>0.0</v>
      </c>
      <c r="D149" s="31">
        <f>SUM(AB149:AK149)</f>
        <v>0.0</v>
      </c>
      <c r="E149" s="31">
        <f>C149-D149</f>
        <v>0.0</v>
      </c>
      <c r="F149" s="31">
        <f>SUM(R149:AA149)</f>
        <v>0.0</v>
      </c>
      <c r="G149" s="34" t="str">
        <f>IF(OR(A149="",$F$5&lt;=0),"",REPT("█",ROUND(20*F149/$F$5,0)))</f>
        <v/>
      </c>
      <c r="H149" s="31">
        <f>AL149+MIN(R148+AB149-AL149,MAX(0,ROUND(Долги!$D$19-SUM($AL149:$AU149),2)))</f>
        <v>0.0</v>
      </c>
      <c r="I149" s="31">
        <f>AM149+MIN(S148+AC149-AM149,MAX(0,ROUND(ROUND(Долги!$D$19-SUM($AL149:$AU149),2)-(SUM($H149:H149)-SUM($AL149:AL149)),2)))</f>
        <v>0.0</v>
      </c>
      <c r="J149" s="31">
        <f>AN149+MIN(T148+AD149-AN149,MAX(0,ROUND(ROUND(Долги!$D$19-SUM($AL149:$AU149),2)-(SUM($H149:I149)-SUM($AL149:AM149)),2)))</f>
        <v>0.0</v>
      </c>
      <c r="K149" s="31">
        <f>AO149+MIN(U148+AE149-AO149,MAX(0,ROUND(ROUND(Долги!$D$19-SUM($AL149:$AU149),2)-(SUM($H149:J149)-SUM($AL149:AN149)),2)))</f>
        <v>0.0</v>
      </c>
      <c r="L149" s="31">
        <f>AP149+MIN(V148+AF149-AP149,MAX(0,ROUND(ROUND(Долги!$D$19-SUM($AL149:$AU149),2)-(SUM($H149:K149)-SUM($AL149:AO149)),2)))</f>
        <v>0.0</v>
      </c>
      <c r="M149" s="31">
        <f>AQ149+MIN(W148+AG149-AQ149,MAX(0,ROUND(ROUND(Долги!$D$19-SUM($AL149:$AU149),2)-(SUM($H149:L149)-SUM($AL149:AP149)),2)))</f>
        <v>0.0</v>
      </c>
      <c r="N149" s="31">
        <f>AR149+MIN(X148+AH149-AR149,MAX(0,ROUND(ROUND(Долги!$D$19-SUM($AL149:$AU149),2)-(SUM($H149:M149)-SUM($AL149:AQ149)),2)))</f>
        <v>0.0</v>
      </c>
      <c r="O149" s="31">
        <f>AS149+MIN(Y148+AI149-AS149,MAX(0,ROUND(ROUND(Долги!$D$19-SUM($AL149:$AU149),2)-(SUM($H149:N149)-SUM($AL149:AR149)),2)))</f>
        <v>0.0</v>
      </c>
      <c r="P149" s="31">
        <f>AT149+MIN(Z148+AJ149-AT149,MAX(0,ROUND(ROUND(Долги!$D$19-SUM($AL149:$AU149),2)-(SUM($H149:O149)-SUM($AL149:AS149)),2)))</f>
        <v>0.0</v>
      </c>
      <c r="Q149" s="31">
        <f>AU149+MIN(AA148+AK149-AU149,MAX(0,ROUND(ROUND(Долги!$D$19-SUM($AL149:$AU149),2)-(SUM($H149:P149)-SUM($AL149:AT149)),2)))</f>
        <v>0.0</v>
      </c>
      <c r="R149" s="31">
        <f>IF(R148+AB149-H149&lt;=0.01,0,ROUND(R148+AB149-H149,2))</f>
        <v>0.0</v>
      </c>
      <c r="S149" s="31">
        <f>IF(S148+AC149-I149&lt;=0.01,0,ROUND(S148+AC149-I149,2))</f>
        <v>0.0</v>
      </c>
      <c r="T149" s="31">
        <f>IF(T148+AD149-J149&lt;=0.01,0,ROUND(T148+AD149-J149,2))</f>
        <v>0.0</v>
      </c>
      <c r="U149" s="31">
        <f>IF(U148+AE149-K149&lt;=0.01,0,ROUND(U148+AE149-K149,2))</f>
        <v>0.0</v>
      </c>
      <c r="V149" s="31">
        <f>IF(V148+AF149-L149&lt;=0.01,0,ROUND(V148+AF149-L149,2))</f>
        <v>0.0</v>
      </c>
      <c r="W149" s="31">
        <f>IF(W148+AG149-M149&lt;=0.01,0,ROUND(W148+AG149-M149,2))</f>
        <v>0.0</v>
      </c>
      <c r="X149" s="31">
        <f>IF(X148+AH149-N149&lt;=0.01,0,ROUND(X148+AH149-N149,2))</f>
        <v>0.0</v>
      </c>
      <c r="Y149" s="31">
        <f>IF(Y148+AI149-O149&lt;=0.01,0,ROUND(Y148+AI149-O149,2))</f>
        <v>0.0</v>
      </c>
      <c r="Z149" s="31">
        <f>IF(Z148+AJ149-P149&lt;=0.01,0,ROUND(Z148+AJ149-P149,2))</f>
        <v>0.0</v>
      </c>
      <c r="AA149" s="31">
        <f>IF(AA148+AK149-Q149&lt;=0.01,0,ROUND(AA148+AK149-Q149,2))</f>
        <v>0.0</v>
      </c>
      <c r="AB149" s="31">
        <f>ROUND(R148*AB$5/1200,2)</f>
        <v>0.0</v>
      </c>
      <c r="AC149" s="31">
        <f>ROUND(S148*AC$5/1200,2)</f>
        <v>0.0</v>
      </c>
      <c r="AD149" s="31">
        <f>ROUND(T148*AD$5/1200,2)</f>
        <v>0.0</v>
      </c>
      <c r="AE149" s="31">
        <f>ROUND(U148*AE$5/1200,2)</f>
        <v>0.0</v>
      </c>
      <c r="AF149" s="31">
        <f>ROUND(V148*AF$5/1200,2)</f>
        <v>0.0</v>
      </c>
      <c r="AG149" s="31">
        <f>ROUND(W148*AG$5/1200,2)</f>
        <v>0.0</v>
      </c>
      <c r="AH149" s="31">
        <f>ROUND(X148*AH$5/1200,2)</f>
        <v>0.0</v>
      </c>
      <c r="AI149" s="31">
        <f>ROUND(Y148*AI$5/1200,2)</f>
        <v>0.0</v>
      </c>
      <c r="AJ149" s="31">
        <f>ROUND(Z148*AJ$5/1200,2)</f>
        <v>0.0</v>
      </c>
      <c r="AK149" s="31">
        <f>ROUND(AA148*AK$5/1200,2)</f>
        <v>0.0</v>
      </c>
      <c r="AL149" s="31">
        <f>MIN(AL$5,R148+AB149)</f>
        <v>0.0</v>
      </c>
      <c r="AM149" s="31">
        <f>MIN(AM$5,S148+AC149)</f>
        <v>0.0</v>
      </c>
      <c r="AN149" s="31">
        <f>MIN(AN$5,T148+AD149)</f>
        <v>0.0</v>
      </c>
      <c r="AO149" s="31">
        <f>MIN(AO$5,U148+AE149)</f>
        <v>0.0</v>
      </c>
      <c r="AP149" s="31">
        <f>MIN(AP$5,V148+AF149)</f>
        <v>0.0</v>
      </c>
      <c r="AQ149" s="31">
        <f>MIN(AQ$5,W148+AG149)</f>
        <v>0.0</v>
      </c>
      <c r="AR149" s="31">
        <f>MIN(AR$5,X148+AH149)</f>
        <v>0.0</v>
      </c>
      <c r="AS149" s="31">
        <f>MIN(AS$5,Y148+AI149)</f>
        <v>0.0</v>
      </c>
      <c r="AT149" s="31">
        <f>MIN(AT$5,Z148+AJ149)</f>
        <v>0.0</v>
      </c>
      <c r="AU149" s="31">
        <f>MIN(AU$5,AA148+AK149)</f>
        <v>0.0</v>
      </c>
    </row>
    <row r="150">
      <c r="A150" s="25" t="str">
        <f>IF(F149&gt;0.005,145,"")</f>
        <v/>
      </c>
      <c r="B150" s="33" t="str">
        <f>IF(A150="","",EDATE(Долги!$D$5,144))</f>
        <v/>
      </c>
      <c r="C150" s="31">
        <f>SUM(H150:Q150)</f>
        <v>0.0</v>
      </c>
      <c r="D150" s="31">
        <f>SUM(AB150:AK150)</f>
        <v>0.0</v>
      </c>
      <c r="E150" s="31">
        <f>C150-D150</f>
        <v>0.0</v>
      </c>
      <c r="F150" s="31">
        <f>SUM(R150:AA150)</f>
        <v>0.0</v>
      </c>
      <c r="G150" s="34" t="str">
        <f>IF(OR(A150="",$F$5&lt;=0),"",REPT("█",ROUND(20*F150/$F$5,0)))</f>
        <v/>
      </c>
      <c r="H150" s="31">
        <f>AL150+MIN(R149+AB150-AL150,MAX(0,ROUND(Долги!$D$19-SUM($AL150:$AU150),2)))</f>
        <v>0.0</v>
      </c>
      <c r="I150" s="31">
        <f>AM150+MIN(S149+AC150-AM150,MAX(0,ROUND(ROUND(Долги!$D$19-SUM($AL150:$AU150),2)-(SUM($H150:H150)-SUM($AL150:AL150)),2)))</f>
        <v>0.0</v>
      </c>
      <c r="J150" s="31">
        <f>AN150+MIN(T149+AD150-AN150,MAX(0,ROUND(ROUND(Долги!$D$19-SUM($AL150:$AU150),2)-(SUM($H150:I150)-SUM($AL150:AM150)),2)))</f>
        <v>0.0</v>
      </c>
      <c r="K150" s="31">
        <f>AO150+MIN(U149+AE150-AO150,MAX(0,ROUND(ROUND(Долги!$D$19-SUM($AL150:$AU150),2)-(SUM($H150:J150)-SUM($AL150:AN150)),2)))</f>
        <v>0.0</v>
      </c>
      <c r="L150" s="31">
        <f>AP150+MIN(V149+AF150-AP150,MAX(0,ROUND(ROUND(Долги!$D$19-SUM($AL150:$AU150),2)-(SUM($H150:K150)-SUM($AL150:AO150)),2)))</f>
        <v>0.0</v>
      </c>
      <c r="M150" s="31">
        <f>AQ150+MIN(W149+AG150-AQ150,MAX(0,ROUND(ROUND(Долги!$D$19-SUM($AL150:$AU150),2)-(SUM($H150:L150)-SUM($AL150:AP150)),2)))</f>
        <v>0.0</v>
      </c>
      <c r="N150" s="31">
        <f>AR150+MIN(X149+AH150-AR150,MAX(0,ROUND(ROUND(Долги!$D$19-SUM($AL150:$AU150),2)-(SUM($H150:M150)-SUM($AL150:AQ150)),2)))</f>
        <v>0.0</v>
      </c>
      <c r="O150" s="31">
        <f>AS150+MIN(Y149+AI150-AS150,MAX(0,ROUND(ROUND(Долги!$D$19-SUM($AL150:$AU150),2)-(SUM($H150:N150)-SUM($AL150:AR150)),2)))</f>
        <v>0.0</v>
      </c>
      <c r="P150" s="31">
        <f>AT150+MIN(Z149+AJ150-AT150,MAX(0,ROUND(ROUND(Долги!$D$19-SUM($AL150:$AU150),2)-(SUM($H150:O150)-SUM($AL150:AS150)),2)))</f>
        <v>0.0</v>
      </c>
      <c r="Q150" s="31">
        <f>AU150+MIN(AA149+AK150-AU150,MAX(0,ROUND(ROUND(Долги!$D$19-SUM($AL150:$AU150),2)-(SUM($H150:P150)-SUM($AL150:AT150)),2)))</f>
        <v>0.0</v>
      </c>
      <c r="R150" s="31">
        <f>IF(R149+AB150-H150&lt;=0.01,0,ROUND(R149+AB150-H150,2))</f>
        <v>0.0</v>
      </c>
      <c r="S150" s="31">
        <f>IF(S149+AC150-I150&lt;=0.01,0,ROUND(S149+AC150-I150,2))</f>
        <v>0.0</v>
      </c>
      <c r="T150" s="31">
        <f>IF(T149+AD150-J150&lt;=0.01,0,ROUND(T149+AD150-J150,2))</f>
        <v>0.0</v>
      </c>
      <c r="U150" s="31">
        <f>IF(U149+AE150-K150&lt;=0.01,0,ROUND(U149+AE150-K150,2))</f>
        <v>0.0</v>
      </c>
      <c r="V150" s="31">
        <f>IF(V149+AF150-L150&lt;=0.01,0,ROUND(V149+AF150-L150,2))</f>
        <v>0.0</v>
      </c>
      <c r="W150" s="31">
        <f>IF(W149+AG150-M150&lt;=0.01,0,ROUND(W149+AG150-M150,2))</f>
        <v>0.0</v>
      </c>
      <c r="X150" s="31">
        <f>IF(X149+AH150-N150&lt;=0.01,0,ROUND(X149+AH150-N150,2))</f>
        <v>0.0</v>
      </c>
      <c r="Y150" s="31">
        <f>IF(Y149+AI150-O150&lt;=0.01,0,ROUND(Y149+AI150-O150,2))</f>
        <v>0.0</v>
      </c>
      <c r="Z150" s="31">
        <f>IF(Z149+AJ150-P150&lt;=0.01,0,ROUND(Z149+AJ150-P150,2))</f>
        <v>0.0</v>
      </c>
      <c r="AA150" s="31">
        <f>IF(AA149+AK150-Q150&lt;=0.01,0,ROUND(AA149+AK150-Q150,2))</f>
        <v>0.0</v>
      </c>
      <c r="AB150" s="31">
        <f>ROUND(R149*AB$5/1200,2)</f>
        <v>0.0</v>
      </c>
      <c r="AC150" s="31">
        <f>ROUND(S149*AC$5/1200,2)</f>
        <v>0.0</v>
      </c>
      <c r="AD150" s="31">
        <f>ROUND(T149*AD$5/1200,2)</f>
        <v>0.0</v>
      </c>
      <c r="AE150" s="31">
        <f>ROUND(U149*AE$5/1200,2)</f>
        <v>0.0</v>
      </c>
      <c r="AF150" s="31">
        <f>ROUND(V149*AF$5/1200,2)</f>
        <v>0.0</v>
      </c>
      <c r="AG150" s="31">
        <f>ROUND(W149*AG$5/1200,2)</f>
        <v>0.0</v>
      </c>
      <c r="AH150" s="31">
        <f>ROUND(X149*AH$5/1200,2)</f>
        <v>0.0</v>
      </c>
      <c r="AI150" s="31">
        <f>ROUND(Y149*AI$5/1200,2)</f>
        <v>0.0</v>
      </c>
      <c r="AJ150" s="31">
        <f>ROUND(Z149*AJ$5/1200,2)</f>
        <v>0.0</v>
      </c>
      <c r="AK150" s="31">
        <f>ROUND(AA149*AK$5/1200,2)</f>
        <v>0.0</v>
      </c>
      <c r="AL150" s="31">
        <f>MIN(AL$5,R149+AB150)</f>
        <v>0.0</v>
      </c>
      <c r="AM150" s="31">
        <f>MIN(AM$5,S149+AC150)</f>
        <v>0.0</v>
      </c>
      <c r="AN150" s="31">
        <f>MIN(AN$5,T149+AD150)</f>
        <v>0.0</v>
      </c>
      <c r="AO150" s="31">
        <f>MIN(AO$5,U149+AE150)</f>
        <v>0.0</v>
      </c>
      <c r="AP150" s="31">
        <f>MIN(AP$5,V149+AF150)</f>
        <v>0.0</v>
      </c>
      <c r="AQ150" s="31">
        <f>MIN(AQ$5,W149+AG150)</f>
        <v>0.0</v>
      </c>
      <c r="AR150" s="31">
        <f>MIN(AR$5,X149+AH150)</f>
        <v>0.0</v>
      </c>
      <c r="AS150" s="31">
        <f>MIN(AS$5,Y149+AI150)</f>
        <v>0.0</v>
      </c>
      <c r="AT150" s="31">
        <f>MIN(AT$5,Z149+AJ150)</f>
        <v>0.0</v>
      </c>
      <c r="AU150" s="31">
        <f>MIN(AU$5,AA149+AK150)</f>
        <v>0.0</v>
      </c>
    </row>
    <row r="151">
      <c r="A151" s="25" t="str">
        <f>IF(F150&gt;0.005,146,"")</f>
        <v/>
      </c>
      <c r="B151" s="33" t="str">
        <f>IF(A151="","",EDATE(Долги!$D$5,145))</f>
        <v/>
      </c>
      <c r="C151" s="31">
        <f>SUM(H151:Q151)</f>
        <v>0.0</v>
      </c>
      <c r="D151" s="31">
        <f>SUM(AB151:AK151)</f>
        <v>0.0</v>
      </c>
      <c r="E151" s="31">
        <f>C151-D151</f>
        <v>0.0</v>
      </c>
      <c r="F151" s="31">
        <f>SUM(R151:AA151)</f>
        <v>0.0</v>
      </c>
      <c r="G151" s="34" t="str">
        <f>IF(OR(A151="",$F$5&lt;=0),"",REPT("█",ROUND(20*F151/$F$5,0)))</f>
        <v/>
      </c>
      <c r="H151" s="31">
        <f>AL151+MIN(R150+AB151-AL151,MAX(0,ROUND(Долги!$D$19-SUM($AL151:$AU151),2)))</f>
        <v>0.0</v>
      </c>
      <c r="I151" s="31">
        <f>AM151+MIN(S150+AC151-AM151,MAX(0,ROUND(ROUND(Долги!$D$19-SUM($AL151:$AU151),2)-(SUM($H151:H151)-SUM($AL151:AL151)),2)))</f>
        <v>0.0</v>
      </c>
      <c r="J151" s="31">
        <f>AN151+MIN(T150+AD151-AN151,MAX(0,ROUND(ROUND(Долги!$D$19-SUM($AL151:$AU151),2)-(SUM($H151:I151)-SUM($AL151:AM151)),2)))</f>
        <v>0.0</v>
      </c>
      <c r="K151" s="31">
        <f>AO151+MIN(U150+AE151-AO151,MAX(0,ROUND(ROUND(Долги!$D$19-SUM($AL151:$AU151),2)-(SUM($H151:J151)-SUM($AL151:AN151)),2)))</f>
        <v>0.0</v>
      </c>
      <c r="L151" s="31">
        <f>AP151+MIN(V150+AF151-AP151,MAX(0,ROUND(ROUND(Долги!$D$19-SUM($AL151:$AU151),2)-(SUM($H151:K151)-SUM($AL151:AO151)),2)))</f>
        <v>0.0</v>
      </c>
      <c r="M151" s="31">
        <f>AQ151+MIN(W150+AG151-AQ151,MAX(0,ROUND(ROUND(Долги!$D$19-SUM($AL151:$AU151),2)-(SUM($H151:L151)-SUM($AL151:AP151)),2)))</f>
        <v>0.0</v>
      </c>
      <c r="N151" s="31">
        <f>AR151+MIN(X150+AH151-AR151,MAX(0,ROUND(ROUND(Долги!$D$19-SUM($AL151:$AU151),2)-(SUM($H151:M151)-SUM($AL151:AQ151)),2)))</f>
        <v>0.0</v>
      </c>
      <c r="O151" s="31">
        <f>AS151+MIN(Y150+AI151-AS151,MAX(0,ROUND(ROUND(Долги!$D$19-SUM($AL151:$AU151),2)-(SUM($H151:N151)-SUM($AL151:AR151)),2)))</f>
        <v>0.0</v>
      </c>
      <c r="P151" s="31">
        <f>AT151+MIN(Z150+AJ151-AT151,MAX(0,ROUND(ROUND(Долги!$D$19-SUM($AL151:$AU151),2)-(SUM($H151:O151)-SUM($AL151:AS151)),2)))</f>
        <v>0.0</v>
      </c>
      <c r="Q151" s="31">
        <f>AU151+MIN(AA150+AK151-AU151,MAX(0,ROUND(ROUND(Долги!$D$19-SUM($AL151:$AU151),2)-(SUM($H151:P151)-SUM($AL151:AT151)),2)))</f>
        <v>0.0</v>
      </c>
      <c r="R151" s="31">
        <f>IF(R150+AB151-H151&lt;=0.01,0,ROUND(R150+AB151-H151,2))</f>
        <v>0.0</v>
      </c>
      <c r="S151" s="31">
        <f>IF(S150+AC151-I151&lt;=0.01,0,ROUND(S150+AC151-I151,2))</f>
        <v>0.0</v>
      </c>
      <c r="T151" s="31">
        <f>IF(T150+AD151-J151&lt;=0.01,0,ROUND(T150+AD151-J151,2))</f>
        <v>0.0</v>
      </c>
      <c r="U151" s="31">
        <f>IF(U150+AE151-K151&lt;=0.01,0,ROUND(U150+AE151-K151,2))</f>
        <v>0.0</v>
      </c>
      <c r="V151" s="31">
        <f>IF(V150+AF151-L151&lt;=0.01,0,ROUND(V150+AF151-L151,2))</f>
        <v>0.0</v>
      </c>
      <c r="W151" s="31">
        <f>IF(W150+AG151-M151&lt;=0.01,0,ROUND(W150+AG151-M151,2))</f>
        <v>0.0</v>
      </c>
      <c r="X151" s="31">
        <f>IF(X150+AH151-N151&lt;=0.01,0,ROUND(X150+AH151-N151,2))</f>
        <v>0.0</v>
      </c>
      <c r="Y151" s="31">
        <f>IF(Y150+AI151-O151&lt;=0.01,0,ROUND(Y150+AI151-O151,2))</f>
        <v>0.0</v>
      </c>
      <c r="Z151" s="31">
        <f>IF(Z150+AJ151-P151&lt;=0.01,0,ROUND(Z150+AJ151-P151,2))</f>
        <v>0.0</v>
      </c>
      <c r="AA151" s="31">
        <f>IF(AA150+AK151-Q151&lt;=0.01,0,ROUND(AA150+AK151-Q151,2))</f>
        <v>0.0</v>
      </c>
      <c r="AB151" s="31">
        <f>ROUND(R150*AB$5/1200,2)</f>
        <v>0.0</v>
      </c>
      <c r="AC151" s="31">
        <f>ROUND(S150*AC$5/1200,2)</f>
        <v>0.0</v>
      </c>
      <c r="AD151" s="31">
        <f>ROUND(T150*AD$5/1200,2)</f>
        <v>0.0</v>
      </c>
      <c r="AE151" s="31">
        <f>ROUND(U150*AE$5/1200,2)</f>
        <v>0.0</v>
      </c>
      <c r="AF151" s="31">
        <f>ROUND(V150*AF$5/1200,2)</f>
        <v>0.0</v>
      </c>
      <c r="AG151" s="31">
        <f>ROUND(W150*AG$5/1200,2)</f>
        <v>0.0</v>
      </c>
      <c r="AH151" s="31">
        <f>ROUND(X150*AH$5/1200,2)</f>
        <v>0.0</v>
      </c>
      <c r="AI151" s="31">
        <f>ROUND(Y150*AI$5/1200,2)</f>
        <v>0.0</v>
      </c>
      <c r="AJ151" s="31">
        <f>ROUND(Z150*AJ$5/1200,2)</f>
        <v>0.0</v>
      </c>
      <c r="AK151" s="31">
        <f>ROUND(AA150*AK$5/1200,2)</f>
        <v>0.0</v>
      </c>
      <c r="AL151" s="31">
        <f>MIN(AL$5,R150+AB151)</f>
        <v>0.0</v>
      </c>
      <c r="AM151" s="31">
        <f>MIN(AM$5,S150+AC151)</f>
        <v>0.0</v>
      </c>
      <c r="AN151" s="31">
        <f>MIN(AN$5,T150+AD151)</f>
        <v>0.0</v>
      </c>
      <c r="AO151" s="31">
        <f>MIN(AO$5,U150+AE151)</f>
        <v>0.0</v>
      </c>
      <c r="AP151" s="31">
        <f>MIN(AP$5,V150+AF151)</f>
        <v>0.0</v>
      </c>
      <c r="AQ151" s="31">
        <f>MIN(AQ$5,W150+AG151)</f>
        <v>0.0</v>
      </c>
      <c r="AR151" s="31">
        <f>MIN(AR$5,X150+AH151)</f>
        <v>0.0</v>
      </c>
      <c r="AS151" s="31">
        <f>MIN(AS$5,Y150+AI151)</f>
        <v>0.0</v>
      </c>
      <c r="AT151" s="31">
        <f>MIN(AT$5,Z150+AJ151)</f>
        <v>0.0</v>
      </c>
      <c r="AU151" s="31">
        <f>MIN(AU$5,AA150+AK151)</f>
        <v>0.0</v>
      </c>
    </row>
    <row r="152">
      <c r="A152" s="25" t="str">
        <f>IF(F151&gt;0.005,147,"")</f>
        <v/>
      </c>
      <c r="B152" s="33" t="str">
        <f>IF(A152="","",EDATE(Долги!$D$5,146))</f>
        <v/>
      </c>
      <c r="C152" s="31">
        <f>SUM(H152:Q152)</f>
        <v>0.0</v>
      </c>
      <c r="D152" s="31">
        <f>SUM(AB152:AK152)</f>
        <v>0.0</v>
      </c>
      <c r="E152" s="31">
        <f>C152-D152</f>
        <v>0.0</v>
      </c>
      <c r="F152" s="31">
        <f>SUM(R152:AA152)</f>
        <v>0.0</v>
      </c>
      <c r="G152" s="34" t="str">
        <f>IF(OR(A152="",$F$5&lt;=0),"",REPT("█",ROUND(20*F152/$F$5,0)))</f>
        <v/>
      </c>
      <c r="H152" s="31">
        <f>AL152+MIN(R151+AB152-AL152,MAX(0,ROUND(Долги!$D$19-SUM($AL152:$AU152),2)))</f>
        <v>0.0</v>
      </c>
      <c r="I152" s="31">
        <f>AM152+MIN(S151+AC152-AM152,MAX(0,ROUND(ROUND(Долги!$D$19-SUM($AL152:$AU152),2)-(SUM($H152:H152)-SUM($AL152:AL152)),2)))</f>
        <v>0.0</v>
      </c>
      <c r="J152" s="31">
        <f>AN152+MIN(T151+AD152-AN152,MAX(0,ROUND(ROUND(Долги!$D$19-SUM($AL152:$AU152),2)-(SUM($H152:I152)-SUM($AL152:AM152)),2)))</f>
        <v>0.0</v>
      </c>
      <c r="K152" s="31">
        <f>AO152+MIN(U151+AE152-AO152,MAX(0,ROUND(ROUND(Долги!$D$19-SUM($AL152:$AU152),2)-(SUM($H152:J152)-SUM($AL152:AN152)),2)))</f>
        <v>0.0</v>
      </c>
      <c r="L152" s="31">
        <f>AP152+MIN(V151+AF152-AP152,MAX(0,ROUND(ROUND(Долги!$D$19-SUM($AL152:$AU152),2)-(SUM($H152:K152)-SUM($AL152:AO152)),2)))</f>
        <v>0.0</v>
      </c>
      <c r="M152" s="31">
        <f>AQ152+MIN(W151+AG152-AQ152,MAX(0,ROUND(ROUND(Долги!$D$19-SUM($AL152:$AU152),2)-(SUM($H152:L152)-SUM($AL152:AP152)),2)))</f>
        <v>0.0</v>
      </c>
      <c r="N152" s="31">
        <f>AR152+MIN(X151+AH152-AR152,MAX(0,ROUND(ROUND(Долги!$D$19-SUM($AL152:$AU152),2)-(SUM($H152:M152)-SUM($AL152:AQ152)),2)))</f>
        <v>0.0</v>
      </c>
      <c r="O152" s="31">
        <f>AS152+MIN(Y151+AI152-AS152,MAX(0,ROUND(ROUND(Долги!$D$19-SUM($AL152:$AU152),2)-(SUM($H152:N152)-SUM($AL152:AR152)),2)))</f>
        <v>0.0</v>
      </c>
      <c r="P152" s="31">
        <f>AT152+MIN(Z151+AJ152-AT152,MAX(0,ROUND(ROUND(Долги!$D$19-SUM($AL152:$AU152),2)-(SUM($H152:O152)-SUM($AL152:AS152)),2)))</f>
        <v>0.0</v>
      </c>
      <c r="Q152" s="31">
        <f>AU152+MIN(AA151+AK152-AU152,MAX(0,ROUND(ROUND(Долги!$D$19-SUM($AL152:$AU152),2)-(SUM($H152:P152)-SUM($AL152:AT152)),2)))</f>
        <v>0.0</v>
      </c>
      <c r="R152" s="31">
        <f>IF(R151+AB152-H152&lt;=0.01,0,ROUND(R151+AB152-H152,2))</f>
        <v>0.0</v>
      </c>
      <c r="S152" s="31">
        <f>IF(S151+AC152-I152&lt;=0.01,0,ROUND(S151+AC152-I152,2))</f>
        <v>0.0</v>
      </c>
      <c r="T152" s="31">
        <f>IF(T151+AD152-J152&lt;=0.01,0,ROUND(T151+AD152-J152,2))</f>
        <v>0.0</v>
      </c>
      <c r="U152" s="31">
        <f>IF(U151+AE152-K152&lt;=0.01,0,ROUND(U151+AE152-K152,2))</f>
        <v>0.0</v>
      </c>
      <c r="V152" s="31">
        <f>IF(V151+AF152-L152&lt;=0.01,0,ROUND(V151+AF152-L152,2))</f>
        <v>0.0</v>
      </c>
      <c r="W152" s="31">
        <f>IF(W151+AG152-M152&lt;=0.01,0,ROUND(W151+AG152-M152,2))</f>
        <v>0.0</v>
      </c>
      <c r="X152" s="31">
        <f>IF(X151+AH152-N152&lt;=0.01,0,ROUND(X151+AH152-N152,2))</f>
        <v>0.0</v>
      </c>
      <c r="Y152" s="31">
        <f>IF(Y151+AI152-O152&lt;=0.01,0,ROUND(Y151+AI152-O152,2))</f>
        <v>0.0</v>
      </c>
      <c r="Z152" s="31">
        <f>IF(Z151+AJ152-P152&lt;=0.01,0,ROUND(Z151+AJ152-P152,2))</f>
        <v>0.0</v>
      </c>
      <c r="AA152" s="31">
        <f>IF(AA151+AK152-Q152&lt;=0.01,0,ROUND(AA151+AK152-Q152,2))</f>
        <v>0.0</v>
      </c>
      <c r="AB152" s="31">
        <f>ROUND(R151*AB$5/1200,2)</f>
        <v>0.0</v>
      </c>
      <c r="AC152" s="31">
        <f>ROUND(S151*AC$5/1200,2)</f>
        <v>0.0</v>
      </c>
      <c r="AD152" s="31">
        <f>ROUND(T151*AD$5/1200,2)</f>
        <v>0.0</v>
      </c>
      <c r="AE152" s="31">
        <f>ROUND(U151*AE$5/1200,2)</f>
        <v>0.0</v>
      </c>
      <c r="AF152" s="31">
        <f>ROUND(V151*AF$5/1200,2)</f>
        <v>0.0</v>
      </c>
      <c r="AG152" s="31">
        <f>ROUND(W151*AG$5/1200,2)</f>
        <v>0.0</v>
      </c>
      <c r="AH152" s="31">
        <f>ROUND(X151*AH$5/1200,2)</f>
        <v>0.0</v>
      </c>
      <c r="AI152" s="31">
        <f>ROUND(Y151*AI$5/1200,2)</f>
        <v>0.0</v>
      </c>
      <c r="AJ152" s="31">
        <f>ROUND(Z151*AJ$5/1200,2)</f>
        <v>0.0</v>
      </c>
      <c r="AK152" s="31">
        <f>ROUND(AA151*AK$5/1200,2)</f>
        <v>0.0</v>
      </c>
      <c r="AL152" s="31">
        <f>MIN(AL$5,R151+AB152)</f>
        <v>0.0</v>
      </c>
      <c r="AM152" s="31">
        <f>MIN(AM$5,S151+AC152)</f>
        <v>0.0</v>
      </c>
      <c r="AN152" s="31">
        <f>MIN(AN$5,T151+AD152)</f>
        <v>0.0</v>
      </c>
      <c r="AO152" s="31">
        <f>MIN(AO$5,U151+AE152)</f>
        <v>0.0</v>
      </c>
      <c r="AP152" s="31">
        <f>MIN(AP$5,V151+AF152)</f>
        <v>0.0</v>
      </c>
      <c r="AQ152" s="31">
        <f>MIN(AQ$5,W151+AG152)</f>
        <v>0.0</v>
      </c>
      <c r="AR152" s="31">
        <f>MIN(AR$5,X151+AH152)</f>
        <v>0.0</v>
      </c>
      <c r="AS152" s="31">
        <f>MIN(AS$5,Y151+AI152)</f>
        <v>0.0</v>
      </c>
      <c r="AT152" s="31">
        <f>MIN(AT$5,Z151+AJ152)</f>
        <v>0.0</v>
      </c>
      <c r="AU152" s="31">
        <f>MIN(AU$5,AA151+AK152)</f>
        <v>0.0</v>
      </c>
    </row>
    <row r="153">
      <c r="A153" s="25" t="str">
        <f>IF(F152&gt;0.005,148,"")</f>
        <v/>
      </c>
      <c r="B153" s="33" t="str">
        <f>IF(A153="","",EDATE(Долги!$D$5,147))</f>
        <v/>
      </c>
      <c r="C153" s="31">
        <f>SUM(H153:Q153)</f>
        <v>0.0</v>
      </c>
      <c r="D153" s="31">
        <f>SUM(AB153:AK153)</f>
        <v>0.0</v>
      </c>
      <c r="E153" s="31">
        <f>C153-D153</f>
        <v>0.0</v>
      </c>
      <c r="F153" s="31">
        <f>SUM(R153:AA153)</f>
        <v>0.0</v>
      </c>
      <c r="G153" s="34" t="str">
        <f>IF(OR(A153="",$F$5&lt;=0),"",REPT("█",ROUND(20*F153/$F$5,0)))</f>
        <v/>
      </c>
      <c r="H153" s="31">
        <f>AL153+MIN(R152+AB153-AL153,MAX(0,ROUND(Долги!$D$19-SUM($AL153:$AU153),2)))</f>
        <v>0.0</v>
      </c>
      <c r="I153" s="31">
        <f>AM153+MIN(S152+AC153-AM153,MAX(0,ROUND(ROUND(Долги!$D$19-SUM($AL153:$AU153),2)-(SUM($H153:H153)-SUM($AL153:AL153)),2)))</f>
        <v>0.0</v>
      </c>
      <c r="J153" s="31">
        <f>AN153+MIN(T152+AD153-AN153,MAX(0,ROUND(ROUND(Долги!$D$19-SUM($AL153:$AU153),2)-(SUM($H153:I153)-SUM($AL153:AM153)),2)))</f>
        <v>0.0</v>
      </c>
      <c r="K153" s="31">
        <f>AO153+MIN(U152+AE153-AO153,MAX(0,ROUND(ROUND(Долги!$D$19-SUM($AL153:$AU153),2)-(SUM($H153:J153)-SUM($AL153:AN153)),2)))</f>
        <v>0.0</v>
      </c>
      <c r="L153" s="31">
        <f>AP153+MIN(V152+AF153-AP153,MAX(0,ROUND(ROUND(Долги!$D$19-SUM($AL153:$AU153),2)-(SUM($H153:K153)-SUM($AL153:AO153)),2)))</f>
        <v>0.0</v>
      </c>
      <c r="M153" s="31">
        <f>AQ153+MIN(W152+AG153-AQ153,MAX(0,ROUND(ROUND(Долги!$D$19-SUM($AL153:$AU153),2)-(SUM($H153:L153)-SUM($AL153:AP153)),2)))</f>
        <v>0.0</v>
      </c>
      <c r="N153" s="31">
        <f>AR153+MIN(X152+AH153-AR153,MAX(0,ROUND(ROUND(Долги!$D$19-SUM($AL153:$AU153),2)-(SUM($H153:M153)-SUM($AL153:AQ153)),2)))</f>
        <v>0.0</v>
      </c>
      <c r="O153" s="31">
        <f>AS153+MIN(Y152+AI153-AS153,MAX(0,ROUND(ROUND(Долги!$D$19-SUM($AL153:$AU153),2)-(SUM($H153:N153)-SUM($AL153:AR153)),2)))</f>
        <v>0.0</v>
      </c>
      <c r="P153" s="31">
        <f>AT153+MIN(Z152+AJ153-AT153,MAX(0,ROUND(ROUND(Долги!$D$19-SUM($AL153:$AU153),2)-(SUM($H153:O153)-SUM($AL153:AS153)),2)))</f>
        <v>0.0</v>
      </c>
      <c r="Q153" s="31">
        <f>AU153+MIN(AA152+AK153-AU153,MAX(0,ROUND(ROUND(Долги!$D$19-SUM($AL153:$AU153),2)-(SUM($H153:P153)-SUM($AL153:AT153)),2)))</f>
        <v>0.0</v>
      </c>
      <c r="R153" s="31">
        <f>IF(R152+AB153-H153&lt;=0.01,0,ROUND(R152+AB153-H153,2))</f>
        <v>0.0</v>
      </c>
      <c r="S153" s="31">
        <f>IF(S152+AC153-I153&lt;=0.01,0,ROUND(S152+AC153-I153,2))</f>
        <v>0.0</v>
      </c>
      <c r="T153" s="31">
        <f>IF(T152+AD153-J153&lt;=0.01,0,ROUND(T152+AD153-J153,2))</f>
        <v>0.0</v>
      </c>
      <c r="U153" s="31">
        <f>IF(U152+AE153-K153&lt;=0.01,0,ROUND(U152+AE153-K153,2))</f>
        <v>0.0</v>
      </c>
      <c r="V153" s="31">
        <f>IF(V152+AF153-L153&lt;=0.01,0,ROUND(V152+AF153-L153,2))</f>
        <v>0.0</v>
      </c>
      <c r="W153" s="31">
        <f>IF(W152+AG153-M153&lt;=0.01,0,ROUND(W152+AG153-M153,2))</f>
        <v>0.0</v>
      </c>
      <c r="X153" s="31">
        <f>IF(X152+AH153-N153&lt;=0.01,0,ROUND(X152+AH153-N153,2))</f>
        <v>0.0</v>
      </c>
      <c r="Y153" s="31">
        <f>IF(Y152+AI153-O153&lt;=0.01,0,ROUND(Y152+AI153-O153,2))</f>
        <v>0.0</v>
      </c>
      <c r="Z153" s="31">
        <f>IF(Z152+AJ153-P153&lt;=0.01,0,ROUND(Z152+AJ153-P153,2))</f>
        <v>0.0</v>
      </c>
      <c r="AA153" s="31">
        <f>IF(AA152+AK153-Q153&lt;=0.01,0,ROUND(AA152+AK153-Q153,2))</f>
        <v>0.0</v>
      </c>
      <c r="AB153" s="31">
        <f>ROUND(R152*AB$5/1200,2)</f>
        <v>0.0</v>
      </c>
      <c r="AC153" s="31">
        <f>ROUND(S152*AC$5/1200,2)</f>
        <v>0.0</v>
      </c>
      <c r="AD153" s="31">
        <f>ROUND(T152*AD$5/1200,2)</f>
        <v>0.0</v>
      </c>
      <c r="AE153" s="31">
        <f>ROUND(U152*AE$5/1200,2)</f>
        <v>0.0</v>
      </c>
      <c r="AF153" s="31">
        <f>ROUND(V152*AF$5/1200,2)</f>
        <v>0.0</v>
      </c>
      <c r="AG153" s="31">
        <f>ROUND(W152*AG$5/1200,2)</f>
        <v>0.0</v>
      </c>
      <c r="AH153" s="31">
        <f>ROUND(X152*AH$5/1200,2)</f>
        <v>0.0</v>
      </c>
      <c r="AI153" s="31">
        <f>ROUND(Y152*AI$5/1200,2)</f>
        <v>0.0</v>
      </c>
      <c r="AJ153" s="31">
        <f>ROUND(Z152*AJ$5/1200,2)</f>
        <v>0.0</v>
      </c>
      <c r="AK153" s="31">
        <f>ROUND(AA152*AK$5/1200,2)</f>
        <v>0.0</v>
      </c>
      <c r="AL153" s="31">
        <f>MIN(AL$5,R152+AB153)</f>
        <v>0.0</v>
      </c>
      <c r="AM153" s="31">
        <f>MIN(AM$5,S152+AC153)</f>
        <v>0.0</v>
      </c>
      <c r="AN153" s="31">
        <f>MIN(AN$5,T152+AD153)</f>
        <v>0.0</v>
      </c>
      <c r="AO153" s="31">
        <f>MIN(AO$5,U152+AE153)</f>
        <v>0.0</v>
      </c>
      <c r="AP153" s="31">
        <f>MIN(AP$5,V152+AF153)</f>
        <v>0.0</v>
      </c>
      <c r="AQ153" s="31">
        <f>MIN(AQ$5,W152+AG153)</f>
        <v>0.0</v>
      </c>
      <c r="AR153" s="31">
        <f>MIN(AR$5,X152+AH153)</f>
        <v>0.0</v>
      </c>
      <c r="AS153" s="31">
        <f>MIN(AS$5,Y152+AI153)</f>
        <v>0.0</v>
      </c>
      <c r="AT153" s="31">
        <f>MIN(AT$5,Z152+AJ153)</f>
        <v>0.0</v>
      </c>
      <c r="AU153" s="31">
        <f>MIN(AU$5,AA152+AK153)</f>
        <v>0.0</v>
      </c>
    </row>
    <row r="154">
      <c r="A154" s="25" t="str">
        <f>IF(F153&gt;0.005,149,"")</f>
        <v/>
      </c>
      <c r="B154" s="33" t="str">
        <f>IF(A154="","",EDATE(Долги!$D$5,148))</f>
        <v/>
      </c>
      <c r="C154" s="31">
        <f>SUM(H154:Q154)</f>
        <v>0.0</v>
      </c>
      <c r="D154" s="31">
        <f>SUM(AB154:AK154)</f>
        <v>0.0</v>
      </c>
      <c r="E154" s="31">
        <f>C154-D154</f>
        <v>0.0</v>
      </c>
      <c r="F154" s="31">
        <f>SUM(R154:AA154)</f>
        <v>0.0</v>
      </c>
      <c r="G154" s="34" t="str">
        <f>IF(OR(A154="",$F$5&lt;=0),"",REPT("█",ROUND(20*F154/$F$5,0)))</f>
        <v/>
      </c>
      <c r="H154" s="31">
        <f>AL154+MIN(R153+AB154-AL154,MAX(0,ROUND(Долги!$D$19-SUM($AL154:$AU154),2)))</f>
        <v>0.0</v>
      </c>
      <c r="I154" s="31">
        <f>AM154+MIN(S153+AC154-AM154,MAX(0,ROUND(ROUND(Долги!$D$19-SUM($AL154:$AU154),2)-(SUM($H154:H154)-SUM($AL154:AL154)),2)))</f>
        <v>0.0</v>
      </c>
      <c r="J154" s="31">
        <f>AN154+MIN(T153+AD154-AN154,MAX(0,ROUND(ROUND(Долги!$D$19-SUM($AL154:$AU154),2)-(SUM($H154:I154)-SUM($AL154:AM154)),2)))</f>
        <v>0.0</v>
      </c>
      <c r="K154" s="31">
        <f>AO154+MIN(U153+AE154-AO154,MAX(0,ROUND(ROUND(Долги!$D$19-SUM($AL154:$AU154),2)-(SUM($H154:J154)-SUM($AL154:AN154)),2)))</f>
        <v>0.0</v>
      </c>
      <c r="L154" s="31">
        <f>AP154+MIN(V153+AF154-AP154,MAX(0,ROUND(ROUND(Долги!$D$19-SUM($AL154:$AU154),2)-(SUM($H154:K154)-SUM($AL154:AO154)),2)))</f>
        <v>0.0</v>
      </c>
      <c r="M154" s="31">
        <f>AQ154+MIN(W153+AG154-AQ154,MAX(0,ROUND(ROUND(Долги!$D$19-SUM($AL154:$AU154),2)-(SUM($H154:L154)-SUM($AL154:AP154)),2)))</f>
        <v>0.0</v>
      </c>
      <c r="N154" s="31">
        <f>AR154+MIN(X153+AH154-AR154,MAX(0,ROUND(ROUND(Долги!$D$19-SUM($AL154:$AU154),2)-(SUM($H154:M154)-SUM($AL154:AQ154)),2)))</f>
        <v>0.0</v>
      </c>
      <c r="O154" s="31">
        <f>AS154+MIN(Y153+AI154-AS154,MAX(0,ROUND(ROUND(Долги!$D$19-SUM($AL154:$AU154),2)-(SUM($H154:N154)-SUM($AL154:AR154)),2)))</f>
        <v>0.0</v>
      </c>
      <c r="P154" s="31">
        <f>AT154+MIN(Z153+AJ154-AT154,MAX(0,ROUND(ROUND(Долги!$D$19-SUM($AL154:$AU154),2)-(SUM($H154:O154)-SUM($AL154:AS154)),2)))</f>
        <v>0.0</v>
      </c>
      <c r="Q154" s="31">
        <f>AU154+MIN(AA153+AK154-AU154,MAX(0,ROUND(ROUND(Долги!$D$19-SUM($AL154:$AU154),2)-(SUM($H154:P154)-SUM($AL154:AT154)),2)))</f>
        <v>0.0</v>
      </c>
      <c r="R154" s="31">
        <f>IF(R153+AB154-H154&lt;=0.01,0,ROUND(R153+AB154-H154,2))</f>
        <v>0.0</v>
      </c>
      <c r="S154" s="31">
        <f>IF(S153+AC154-I154&lt;=0.01,0,ROUND(S153+AC154-I154,2))</f>
        <v>0.0</v>
      </c>
      <c r="T154" s="31">
        <f>IF(T153+AD154-J154&lt;=0.01,0,ROUND(T153+AD154-J154,2))</f>
        <v>0.0</v>
      </c>
      <c r="U154" s="31">
        <f>IF(U153+AE154-K154&lt;=0.01,0,ROUND(U153+AE154-K154,2))</f>
        <v>0.0</v>
      </c>
      <c r="V154" s="31">
        <f>IF(V153+AF154-L154&lt;=0.01,0,ROUND(V153+AF154-L154,2))</f>
        <v>0.0</v>
      </c>
      <c r="W154" s="31">
        <f>IF(W153+AG154-M154&lt;=0.01,0,ROUND(W153+AG154-M154,2))</f>
        <v>0.0</v>
      </c>
      <c r="X154" s="31">
        <f>IF(X153+AH154-N154&lt;=0.01,0,ROUND(X153+AH154-N154,2))</f>
        <v>0.0</v>
      </c>
      <c r="Y154" s="31">
        <f>IF(Y153+AI154-O154&lt;=0.01,0,ROUND(Y153+AI154-O154,2))</f>
        <v>0.0</v>
      </c>
      <c r="Z154" s="31">
        <f>IF(Z153+AJ154-P154&lt;=0.01,0,ROUND(Z153+AJ154-P154,2))</f>
        <v>0.0</v>
      </c>
      <c r="AA154" s="31">
        <f>IF(AA153+AK154-Q154&lt;=0.01,0,ROUND(AA153+AK154-Q154,2))</f>
        <v>0.0</v>
      </c>
      <c r="AB154" s="31">
        <f>ROUND(R153*AB$5/1200,2)</f>
        <v>0.0</v>
      </c>
      <c r="AC154" s="31">
        <f>ROUND(S153*AC$5/1200,2)</f>
        <v>0.0</v>
      </c>
      <c r="AD154" s="31">
        <f>ROUND(T153*AD$5/1200,2)</f>
        <v>0.0</v>
      </c>
      <c r="AE154" s="31">
        <f>ROUND(U153*AE$5/1200,2)</f>
        <v>0.0</v>
      </c>
      <c r="AF154" s="31">
        <f>ROUND(V153*AF$5/1200,2)</f>
        <v>0.0</v>
      </c>
      <c r="AG154" s="31">
        <f>ROUND(W153*AG$5/1200,2)</f>
        <v>0.0</v>
      </c>
      <c r="AH154" s="31">
        <f>ROUND(X153*AH$5/1200,2)</f>
        <v>0.0</v>
      </c>
      <c r="AI154" s="31">
        <f>ROUND(Y153*AI$5/1200,2)</f>
        <v>0.0</v>
      </c>
      <c r="AJ154" s="31">
        <f>ROUND(Z153*AJ$5/1200,2)</f>
        <v>0.0</v>
      </c>
      <c r="AK154" s="31">
        <f>ROUND(AA153*AK$5/1200,2)</f>
        <v>0.0</v>
      </c>
      <c r="AL154" s="31">
        <f>MIN(AL$5,R153+AB154)</f>
        <v>0.0</v>
      </c>
      <c r="AM154" s="31">
        <f>MIN(AM$5,S153+AC154)</f>
        <v>0.0</v>
      </c>
      <c r="AN154" s="31">
        <f>MIN(AN$5,T153+AD154)</f>
        <v>0.0</v>
      </c>
      <c r="AO154" s="31">
        <f>MIN(AO$5,U153+AE154)</f>
        <v>0.0</v>
      </c>
      <c r="AP154" s="31">
        <f>MIN(AP$5,V153+AF154)</f>
        <v>0.0</v>
      </c>
      <c r="AQ154" s="31">
        <f>MIN(AQ$5,W153+AG154)</f>
        <v>0.0</v>
      </c>
      <c r="AR154" s="31">
        <f>MIN(AR$5,X153+AH154)</f>
        <v>0.0</v>
      </c>
      <c r="AS154" s="31">
        <f>MIN(AS$5,Y153+AI154)</f>
        <v>0.0</v>
      </c>
      <c r="AT154" s="31">
        <f>MIN(AT$5,Z153+AJ154)</f>
        <v>0.0</v>
      </c>
      <c r="AU154" s="31">
        <f>MIN(AU$5,AA153+AK154)</f>
        <v>0.0</v>
      </c>
    </row>
    <row r="155">
      <c r="A155" s="25" t="str">
        <f>IF(F154&gt;0.005,150,"")</f>
        <v/>
      </c>
      <c r="B155" s="33" t="str">
        <f>IF(A155="","",EDATE(Долги!$D$5,149))</f>
        <v/>
      </c>
      <c r="C155" s="31">
        <f>SUM(H155:Q155)</f>
        <v>0.0</v>
      </c>
      <c r="D155" s="31">
        <f>SUM(AB155:AK155)</f>
        <v>0.0</v>
      </c>
      <c r="E155" s="31">
        <f>C155-D155</f>
        <v>0.0</v>
      </c>
      <c r="F155" s="31">
        <f>SUM(R155:AA155)</f>
        <v>0.0</v>
      </c>
      <c r="G155" s="34" t="str">
        <f>IF(OR(A155="",$F$5&lt;=0),"",REPT("█",ROUND(20*F155/$F$5,0)))</f>
        <v/>
      </c>
      <c r="H155" s="31">
        <f>AL155+MIN(R154+AB155-AL155,MAX(0,ROUND(Долги!$D$19-SUM($AL155:$AU155),2)))</f>
        <v>0.0</v>
      </c>
      <c r="I155" s="31">
        <f>AM155+MIN(S154+AC155-AM155,MAX(0,ROUND(ROUND(Долги!$D$19-SUM($AL155:$AU155),2)-(SUM($H155:H155)-SUM($AL155:AL155)),2)))</f>
        <v>0.0</v>
      </c>
      <c r="J155" s="31">
        <f>AN155+MIN(T154+AD155-AN155,MAX(0,ROUND(ROUND(Долги!$D$19-SUM($AL155:$AU155),2)-(SUM($H155:I155)-SUM($AL155:AM155)),2)))</f>
        <v>0.0</v>
      </c>
      <c r="K155" s="31">
        <f>AO155+MIN(U154+AE155-AO155,MAX(0,ROUND(ROUND(Долги!$D$19-SUM($AL155:$AU155),2)-(SUM($H155:J155)-SUM($AL155:AN155)),2)))</f>
        <v>0.0</v>
      </c>
      <c r="L155" s="31">
        <f>AP155+MIN(V154+AF155-AP155,MAX(0,ROUND(ROUND(Долги!$D$19-SUM($AL155:$AU155),2)-(SUM($H155:K155)-SUM($AL155:AO155)),2)))</f>
        <v>0.0</v>
      </c>
      <c r="M155" s="31">
        <f>AQ155+MIN(W154+AG155-AQ155,MAX(0,ROUND(ROUND(Долги!$D$19-SUM($AL155:$AU155),2)-(SUM($H155:L155)-SUM($AL155:AP155)),2)))</f>
        <v>0.0</v>
      </c>
      <c r="N155" s="31">
        <f>AR155+MIN(X154+AH155-AR155,MAX(0,ROUND(ROUND(Долги!$D$19-SUM($AL155:$AU155),2)-(SUM($H155:M155)-SUM($AL155:AQ155)),2)))</f>
        <v>0.0</v>
      </c>
      <c r="O155" s="31">
        <f>AS155+MIN(Y154+AI155-AS155,MAX(0,ROUND(ROUND(Долги!$D$19-SUM($AL155:$AU155),2)-(SUM($H155:N155)-SUM($AL155:AR155)),2)))</f>
        <v>0.0</v>
      </c>
      <c r="P155" s="31">
        <f>AT155+MIN(Z154+AJ155-AT155,MAX(0,ROUND(ROUND(Долги!$D$19-SUM($AL155:$AU155),2)-(SUM($H155:O155)-SUM($AL155:AS155)),2)))</f>
        <v>0.0</v>
      </c>
      <c r="Q155" s="31">
        <f>AU155+MIN(AA154+AK155-AU155,MAX(0,ROUND(ROUND(Долги!$D$19-SUM($AL155:$AU155),2)-(SUM($H155:P155)-SUM($AL155:AT155)),2)))</f>
        <v>0.0</v>
      </c>
      <c r="R155" s="31">
        <f>IF(R154+AB155-H155&lt;=0.01,0,ROUND(R154+AB155-H155,2))</f>
        <v>0.0</v>
      </c>
      <c r="S155" s="31">
        <f>IF(S154+AC155-I155&lt;=0.01,0,ROUND(S154+AC155-I155,2))</f>
        <v>0.0</v>
      </c>
      <c r="T155" s="31">
        <f>IF(T154+AD155-J155&lt;=0.01,0,ROUND(T154+AD155-J155,2))</f>
        <v>0.0</v>
      </c>
      <c r="U155" s="31">
        <f>IF(U154+AE155-K155&lt;=0.01,0,ROUND(U154+AE155-K155,2))</f>
        <v>0.0</v>
      </c>
      <c r="V155" s="31">
        <f>IF(V154+AF155-L155&lt;=0.01,0,ROUND(V154+AF155-L155,2))</f>
        <v>0.0</v>
      </c>
      <c r="W155" s="31">
        <f>IF(W154+AG155-M155&lt;=0.01,0,ROUND(W154+AG155-M155,2))</f>
        <v>0.0</v>
      </c>
      <c r="X155" s="31">
        <f>IF(X154+AH155-N155&lt;=0.01,0,ROUND(X154+AH155-N155,2))</f>
        <v>0.0</v>
      </c>
      <c r="Y155" s="31">
        <f>IF(Y154+AI155-O155&lt;=0.01,0,ROUND(Y154+AI155-O155,2))</f>
        <v>0.0</v>
      </c>
      <c r="Z155" s="31">
        <f>IF(Z154+AJ155-P155&lt;=0.01,0,ROUND(Z154+AJ155-P155,2))</f>
        <v>0.0</v>
      </c>
      <c r="AA155" s="31">
        <f>IF(AA154+AK155-Q155&lt;=0.01,0,ROUND(AA154+AK155-Q155,2))</f>
        <v>0.0</v>
      </c>
      <c r="AB155" s="31">
        <f>ROUND(R154*AB$5/1200,2)</f>
        <v>0.0</v>
      </c>
      <c r="AC155" s="31">
        <f>ROUND(S154*AC$5/1200,2)</f>
        <v>0.0</v>
      </c>
      <c r="AD155" s="31">
        <f>ROUND(T154*AD$5/1200,2)</f>
        <v>0.0</v>
      </c>
      <c r="AE155" s="31">
        <f>ROUND(U154*AE$5/1200,2)</f>
        <v>0.0</v>
      </c>
      <c r="AF155" s="31">
        <f>ROUND(V154*AF$5/1200,2)</f>
        <v>0.0</v>
      </c>
      <c r="AG155" s="31">
        <f>ROUND(W154*AG$5/1200,2)</f>
        <v>0.0</v>
      </c>
      <c r="AH155" s="31">
        <f>ROUND(X154*AH$5/1200,2)</f>
        <v>0.0</v>
      </c>
      <c r="AI155" s="31">
        <f>ROUND(Y154*AI$5/1200,2)</f>
        <v>0.0</v>
      </c>
      <c r="AJ155" s="31">
        <f>ROUND(Z154*AJ$5/1200,2)</f>
        <v>0.0</v>
      </c>
      <c r="AK155" s="31">
        <f>ROUND(AA154*AK$5/1200,2)</f>
        <v>0.0</v>
      </c>
      <c r="AL155" s="31">
        <f>MIN(AL$5,R154+AB155)</f>
        <v>0.0</v>
      </c>
      <c r="AM155" s="31">
        <f>MIN(AM$5,S154+AC155)</f>
        <v>0.0</v>
      </c>
      <c r="AN155" s="31">
        <f>MIN(AN$5,T154+AD155)</f>
        <v>0.0</v>
      </c>
      <c r="AO155" s="31">
        <f>MIN(AO$5,U154+AE155)</f>
        <v>0.0</v>
      </c>
      <c r="AP155" s="31">
        <f>MIN(AP$5,V154+AF155)</f>
        <v>0.0</v>
      </c>
      <c r="AQ155" s="31">
        <f>MIN(AQ$5,W154+AG155)</f>
        <v>0.0</v>
      </c>
      <c r="AR155" s="31">
        <f>MIN(AR$5,X154+AH155)</f>
        <v>0.0</v>
      </c>
      <c r="AS155" s="31">
        <f>MIN(AS$5,Y154+AI155)</f>
        <v>0.0</v>
      </c>
      <c r="AT155" s="31">
        <f>MIN(AT$5,Z154+AJ155)</f>
        <v>0.0</v>
      </c>
      <c r="AU155" s="31">
        <f>MIN(AU$5,AA154+AK155)</f>
        <v>0.0</v>
      </c>
    </row>
    <row r="156">
      <c r="A156" s="25" t="str">
        <f>IF(F155&gt;0.005,151,"")</f>
        <v/>
      </c>
      <c r="B156" s="33" t="str">
        <f>IF(A156="","",EDATE(Долги!$D$5,150))</f>
        <v/>
      </c>
      <c r="C156" s="31">
        <f>SUM(H156:Q156)</f>
        <v>0.0</v>
      </c>
      <c r="D156" s="31">
        <f>SUM(AB156:AK156)</f>
        <v>0.0</v>
      </c>
      <c r="E156" s="31">
        <f>C156-D156</f>
        <v>0.0</v>
      </c>
      <c r="F156" s="31">
        <f>SUM(R156:AA156)</f>
        <v>0.0</v>
      </c>
      <c r="G156" s="34" t="str">
        <f>IF(OR(A156="",$F$5&lt;=0),"",REPT("█",ROUND(20*F156/$F$5,0)))</f>
        <v/>
      </c>
      <c r="H156" s="31">
        <f>AL156+MIN(R155+AB156-AL156,MAX(0,ROUND(Долги!$D$19-SUM($AL156:$AU156),2)))</f>
        <v>0.0</v>
      </c>
      <c r="I156" s="31">
        <f>AM156+MIN(S155+AC156-AM156,MAX(0,ROUND(ROUND(Долги!$D$19-SUM($AL156:$AU156),2)-(SUM($H156:H156)-SUM($AL156:AL156)),2)))</f>
        <v>0.0</v>
      </c>
      <c r="J156" s="31">
        <f>AN156+MIN(T155+AD156-AN156,MAX(0,ROUND(ROUND(Долги!$D$19-SUM($AL156:$AU156),2)-(SUM($H156:I156)-SUM($AL156:AM156)),2)))</f>
        <v>0.0</v>
      </c>
      <c r="K156" s="31">
        <f>AO156+MIN(U155+AE156-AO156,MAX(0,ROUND(ROUND(Долги!$D$19-SUM($AL156:$AU156),2)-(SUM($H156:J156)-SUM($AL156:AN156)),2)))</f>
        <v>0.0</v>
      </c>
      <c r="L156" s="31">
        <f>AP156+MIN(V155+AF156-AP156,MAX(0,ROUND(ROUND(Долги!$D$19-SUM($AL156:$AU156),2)-(SUM($H156:K156)-SUM($AL156:AO156)),2)))</f>
        <v>0.0</v>
      </c>
      <c r="M156" s="31">
        <f>AQ156+MIN(W155+AG156-AQ156,MAX(0,ROUND(ROUND(Долги!$D$19-SUM($AL156:$AU156),2)-(SUM($H156:L156)-SUM($AL156:AP156)),2)))</f>
        <v>0.0</v>
      </c>
      <c r="N156" s="31">
        <f>AR156+MIN(X155+AH156-AR156,MAX(0,ROUND(ROUND(Долги!$D$19-SUM($AL156:$AU156),2)-(SUM($H156:M156)-SUM($AL156:AQ156)),2)))</f>
        <v>0.0</v>
      </c>
      <c r="O156" s="31">
        <f>AS156+MIN(Y155+AI156-AS156,MAX(0,ROUND(ROUND(Долги!$D$19-SUM($AL156:$AU156),2)-(SUM($H156:N156)-SUM($AL156:AR156)),2)))</f>
        <v>0.0</v>
      </c>
      <c r="P156" s="31">
        <f>AT156+MIN(Z155+AJ156-AT156,MAX(0,ROUND(ROUND(Долги!$D$19-SUM($AL156:$AU156),2)-(SUM($H156:O156)-SUM($AL156:AS156)),2)))</f>
        <v>0.0</v>
      </c>
      <c r="Q156" s="31">
        <f>AU156+MIN(AA155+AK156-AU156,MAX(0,ROUND(ROUND(Долги!$D$19-SUM($AL156:$AU156),2)-(SUM($H156:P156)-SUM($AL156:AT156)),2)))</f>
        <v>0.0</v>
      </c>
      <c r="R156" s="31">
        <f>IF(R155+AB156-H156&lt;=0.01,0,ROUND(R155+AB156-H156,2))</f>
        <v>0.0</v>
      </c>
      <c r="S156" s="31">
        <f>IF(S155+AC156-I156&lt;=0.01,0,ROUND(S155+AC156-I156,2))</f>
        <v>0.0</v>
      </c>
      <c r="T156" s="31">
        <f>IF(T155+AD156-J156&lt;=0.01,0,ROUND(T155+AD156-J156,2))</f>
        <v>0.0</v>
      </c>
      <c r="U156" s="31">
        <f>IF(U155+AE156-K156&lt;=0.01,0,ROUND(U155+AE156-K156,2))</f>
        <v>0.0</v>
      </c>
      <c r="V156" s="31">
        <f>IF(V155+AF156-L156&lt;=0.01,0,ROUND(V155+AF156-L156,2))</f>
        <v>0.0</v>
      </c>
      <c r="W156" s="31">
        <f>IF(W155+AG156-M156&lt;=0.01,0,ROUND(W155+AG156-M156,2))</f>
        <v>0.0</v>
      </c>
      <c r="X156" s="31">
        <f>IF(X155+AH156-N156&lt;=0.01,0,ROUND(X155+AH156-N156,2))</f>
        <v>0.0</v>
      </c>
      <c r="Y156" s="31">
        <f>IF(Y155+AI156-O156&lt;=0.01,0,ROUND(Y155+AI156-O156,2))</f>
        <v>0.0</v>
      </c>
      <c r="Z156" s="31">
        <f>IF(Z155+AJ156-P156&lt;=0.01,0,ROUND(Z155+AJ156-P156,2))</f>
        <v>0.0</v>
      </c>
      <c r="AA156" s="31">
        <f>IF(AA155+AK156-Q156&lt;=0.01,0,ROUND(AA155+AK156-Q156,2))</f>
        <v>0.0</v>
      </c>
      <c r="AB156" s="31">
        <f>ROUND(R155*AB$5/1200,2)</f>
        <v>0.0</v>
      </c>
      <c r="AC156" s="31">
        <f>ROUND(S155*AC$5/1200,2)</f>
        <v>0.0</v>
      </c>
      <c r="AD156" s="31">
        <f>ROUND(T155*AD$5/1200,2)</f>
        <v>0.0</v>
      </c>
      <c r="AE156" s="31">
        <f>ROUND(U155*AE$5/1200,2)</f>
        <v>0.0</v>
      </c>
      <c r="AF156" s="31">
        <f>ROUND(V155*AF$5/1200,2)</f>
        <v>0.0</v>
      </c>
      <c r="AG156" s="31">
        <f>ROUND(W155*AG$5/1200,2)</f>
        <v>0.0</v>
      </c>
      <c r="AH156" s="31">
        <f>ROUND(X155*AH$5/1200,2)</f>
        <v>0.0</v>
      </c>
      <c r="AI156" s="31">
        <f>ROUND(Y155*AI$5/1200,2)</f>
        <v>0.0</v>
      </c>
      <c r="AJ156" s="31">
        <f>ROUND(Z155*AJ$5/1200,2)</f>
        <v>0.0</v>
      </c>
      <c r="AK156" s="31">
        <f>ROUND(AA155*AK$5/1200,2)</f>
        <v>0.0</v>
      </c>
      <c r="AL156" s="31">
        <f>MIN(AL$5,R155+AB156)</f>
        <v>0.0</v>
      </c>
      <c r="AM156" s="31">
        <f>MIN(AM$5,S155+AC156)</f>
        <v>0.0</v>
      </c>
      <c r="AN156" s="31">
        <f>MIN(AN$5,T155+AD156)</f>
        <v>0.0</v>
      </c>
      <c r="AO156" s="31">
        <f>MIN(AO$5,U155+AE156)</f>
        <v>0.0</v>
      </c>
      <c r="AP156" s="31">
        <f>MIN(AP$5,V155+AF156)</f>
        <v>0.0</v>
      </c>
      <c r="AQ156" s="31">
        <f>MIN(AQ$5,W155+AG156)</f>
        <v>0.0</v>
      </c>
      <c r="AR156" s="31">
        <f>MIN(AR$5,X155+AH156)</f>
        <v>0.0</v>
      </c>
      <c r="AS156" s="31">
        <f>MIN(AS$5,Y155+AI156)</f>
        <v>0.0</v>
      </c>
      <c r="AT156" s="31">
        <f>MIN(AT$5,Z155+AJ156)</f>
        <v>0.0</v>
      </c>
      <c r="AU156" s="31">
        <f>MIN(AU$5,AA155+AK156)</f>
        <v>0.0</v>
      </c>
    </row>
    <row r="157">
      <c r="A157" s="25" t="str">
        <f>IF(F156&gt;0.005,152,"")</f>
        <v/>
      </c>
      <c r="B157" s="33" t="str">
        <f>IF(A157="","",EDATE(Долги!$D$5,151))</f>
        <v/>
      </c>
      <c r="C157" s="31">
        <f>SUM(H157:Q157)</f>
        <v>0.0</v>
      </c>
      <c r="D157" s="31">
        <f>SUM(AB157:AK157)</f>
        <v>0.0</v>
      </c>
      <c r="E157" s="31">
        <f>C157-D157</f>
        <v>0.0</v>
      </c>
      <c r="F157" s="31">
        <f>SUM(R157:AA157)</f>
        <v>0.0</v>
      </c>
      <c r="G157" s="34" t="str">
        <f>IF(OR(A157="",$F$5&lt;=0),"",REPT("█",ROUND(20*F157/$F$5,0)))</f>
        <v/>
      </c>
      <c r="H157" s="31">
        <f>AL157+MIN(R156+AB157-AL157,MAX(0,ROUND(Долги!$D$19-SUM($AL157:$AU157),2)))</f>
        <v>0.0</v>
      </c>
      <c r="I157" s="31">
        <f>AM157+MIN(S156+AC157-AM157,MAX(0,ROUND(ROUND(Долги!$D$19-SUM($AL157:$AU157),2)-(SUM($H157:H157)-SUM($AL157:AL157)),2)))</f>
        <v>0.0</v>
      </c>
      <c r="J157" s="31">
        <f>AN157+MIN(T156+AD157-AN157,MAX(0,ROUND(ROUND(Долги!$D$19-SUM($AL157:$AU157),2)-(SUM($H157:I157)-SUM($AL157:AM157)),2)))</f>
        <v>0.0</v>
      </c>
      <c r="K157" s="31">
        <f>AO157+MIN(U156+AE157-AO157,MAX(0,ROUND(ROUND(Долги!$D$19-SUM($AL157:$AU157),2)-(SUM($H157:J157)-SUM($AL157:AN157)),2)))</f>
        <v>0.0</v>
      </c>
      <c r="L157" s="31">
        <f>AP157+MIN(V156+AF157-AP157,MAX(0,ROUND(ROUND(Долги!$D$19-SUM($AL157:$AU157),2)-(SUM($H157:K157)-SUM($AL157:AO157)),2)))</f>
        <v>0.0</v>
      </c>
      <c r="M157" s="31">
        <f>AQ157+MIN(W156+AG157-AQ157,MAX(0,ROUND(ROUND(Долги!$D$19-SUM($AL157:$AU157),2)-(SUM($H157:L157)-SUM($AL157:AP157)),2)))</f>
        <v>0.0</v>
      </c>
      <c r="N157" s="31">
        <f>AR157+MIN(X156+AH157-AR157,MAX(0,ROUND(ROUND(Долги!$D$19-SUM($AL157:$AU157),2)-(SUM($H157:M157)-SUM($AL157:AQ157)),2)))</f>
        <v>0.0</v>
      </c>
      <c r="O157" s="31">
        <f>AS157+MIN(Y156+AI157-AS157,MAX(0,ROUND(ROUND(Долги!$D$19-SUM($AL157:$AU157),2)-(SUM($H157:N157)-SUM($AL157:AR157)),2)))</f>
        <v>0.0</v>
      </c>
      <c r="P157" s="31">
        <f>AT157+MIN(Z156+AJ157-AT157,MAX(0,ROUND(ROUND(Долги!$D$19-SUM($AL157:$AU157),2)-(SUM($H157:O157)-SUM($AL157:AS157)),2)))</f>
        <v>0.0</v>
      </c>
      <c r="Q157" s="31">
        <f>AU157+MIN(AA156+AK157-AU157,MAX(0,ROUND(ROUND(Долги!$D$19-SUM($AL157:$AU157),2)-(SUM($H157:P157)-SUM($AL157:AT157)),2)))</f>
        <v>0.0</v>
      </c>
      <c r="R157" s="31">
        <f>IF(R156+AB157-H157&lt;=0.01,0,ROUND(R156+AB157-H157,2))</f>
        <v>0.0</v>
      </c>
      <c r="S157" s="31">
        <f>IF(S156+AC157-I157&lt;=0.01,0,ROUND(S156+AC157-I157,2))</f>
        <v>0.0</v>
      </c>
      <c r="T157" s="31">
        <f>IF(T156+AD157-J157&lt;=0.01,0,ROUND(T156+AD157-J157,2))</f>
        <v>0.0</v>
      </c>
      <c r="U157" s="31">
        <f>IF(U156+AE157-K157&lt;=0.01,0,ROUND(U156+AE157-K157,2))</f>
        <v>0.0</v>
      </c>
      <c r="V157" s="31">
        <f>IF(V156+AF157-L157&lt;=0.01,0,ROUND(V156+AF157-L157,2))</f>
        <v>0.0</v>
      </c>
      <c r="W157" s="31">
        <f>IF(W156+AG157-M157&lt;=0.01,0,ROUND(W156+AG157-M157,2))</f>
        <v>0.0</v>
      </c>
      <c r="X157" s="31">
        <f>IF(X156+AH157-N157&lt;=0.01,0,ROUND(X156+AH157-N157,2))</f>
        <v>0.0</v>
      </c>
      <c r="Y157" s="31">
        <f>IF(Y156+AI157-O157&lt;=0.01,0,ROUND(Y156+AI157-O157,2))</f>
        <v>0.0</v>
      </c>
      <c r="Z157" s="31">
        <f>IF(Z156+AJ157-P157&lt;=0.01,0,ROUND(Z156+AJ157-P157,2))</f>
        <v>0.0</v>
      </c>
      <c r="AA157" s="31">
        <f>IF(AA156+AK157-Q157&lt;=0.01,0,ROUND(AA156+AK157-Q157,2))</f>
        <v>0.0</v>
      </c>
      <c r="AB157" s="31">
        <f>ROUND(R156*AB$5/1200,2)</f>
        <v>0.0</v>
      </c>
      <c r="AC157" s="31">
        <f>ROUND(S156*AC$5/1200,2)</f>
        <v>0.0</v>
      </c>
      <c r="AD157" s="31">
        <f>ROUND(T156*AD$5/1200,2)</f>
        <v>0.0</v>
      </c>
      <c r="AE157" s="31">
        <f>ROUND(U156*AE$5/1200,2)</f>
        <v>0.0</v>
      </c>
      <c r="AF157" s="31">
        <f>ROUND(V156*AF$5/1200,2)</f>
        <v>0.0</v>
      </c>
      <c r="AG157" s="31">
        <f>ROUND(W156*AG$5/1200,2)</f>
        <v>0.0</v>
      </c>
      <c r="AH157" s="31">
        <f>ROUND(X156*AH$5/1200,2)</f>
        <v>0.0</v>
      </c>
      <c r="AI157" s="31">
        <f>ROUND(Y156*AI$5/1200,2)</f>
        <v>0.0</v>
      </c>
      <c r="AJ157" s="31">
        <f>ROUND(Z156*AJ$5/1200,2)</f>
        <v>0.0</v>
      </c>
      <c r="AK157" s="31">
        <f>ROUND(AA156*AK$5/1200,2)</f>
        <v>0.0</v>
      </c>
      <c r="AL157" s="31">
        <f>MIN(AL$5,R156+AB157)</f>
        <v>0.0</v>
      </c>
      <c r="AM157" s="31">
        <f>MIN(AM$5,S156+AC157)</f>
        <v>0.0</v>
      </c>
      <c r="AN157" s="31">
        <f>MIN(AN$5,T156+AD157)</f>
        <v>0.0</v>
      </c>
      <c r="AO157" s="31">
        <f>MIN(AO$5,U156+AE157)</f>
        <v>0.0</v>
      </c>
      <c r="AP157" s="31">
        <f>MIN(AP$5,V156+AF157)</f>
        <v>0.0</v>
      </c>
      <c r="AQ157" s="31">
        <f>MIN(AQ$5,W156+AG157)</f>
        <v>0.0</v>
      </c>
      <c r="AR157" s="31">
        <f>MIN(AR$5,X156+AH157)</f>
        <v>0.0</v>
      </c>
      <c r="AS157" s="31">
        <f>MIN(AS$5,Y156+AI157)</f>
        <v>0.0</v>
      </c>
      <c r="AT157" s="31">
        <f>MIN(AT$5,Z156+AJ157)</f>
        <v>0.0</v>
      </c>
      <c r="AU157" s="31">
        <f>MIN(AU$5,AA156+AK157)</f>
        <v>0.0</v>
      </c>
    </row>
    <row r="158">
      <c r="A158" s="25" t="str">
        <f>IF(F157&gt;0.005,153,"")</f>
        <v/>
      </c>
      <c r="B158" s="33" t="str">
        <f>IF(A158="","",EDATE(Долги!$D$5,152))</f>
        <v/>
      </c>
      <c r="C158" s="31">
        <f>SUM(H158:Q158)</f>
        <v>0.0</v>
      </c>
      <c r="D158" s="31">
        <f>SUM(AB158:AK158)</f>
        <v>0.0</v>
      </c>
      <c r="E158" s="31">
        <f>C158-D158</f>
        <v>0.0</v>
      </c>
      <c r="F158" s="31">
        <f>SUM(R158:AA158)</f>
        <v>0.0</v>
      </c>
      <c r="G158" s="34" t="str">
        <f>IF(OR(A158="",$F$5&lt;=0),"",REPT("█",ROUND(20*F158/$F$5,0)))</f>
        <v/>
      </c>
      <c r="H158" s="31">
        <f>AL158+MIN(R157+AB158-AL158,MAX(0,ROUND(Долги!$D$19-SUM($AL158:$AU158),2)))</f>
        <v>0.0</v>
      </c>
      <c r="I158" s="31">
        <f>AM158+MIN(S157+AC158-AM158,MAX(0,ROUND(ROUND(Долги!$D$19-SUM($AL158:$AU158),2)-(SUM($H158:H158)-SUM($AL158:AL158)),2)))</f>
        <v>0.0</v>
      </c>
      <c r="J158" s="31">
        <f>AN158+MIN(T157+AD158-AN158,MAX(0,ROUND(ROUND(Долги!$D$19-SUM($AL158:$AU158),2)-(SUM($H158:I158)-SUM($AL158:AM158)),2)))</f>
        <v>0.0</v>
      </c>
      <c r="K158" s="31">
        <f>AO158+MIN(U157+AE158-AO158,MAX(0,ROUND(ROUND(Долги!$D$19-SUM($AL158:$AU158),2)-(SUM($H158:J158)-SUM($AL158:AN158)),2)))</f>
        <v>0.0</v>
      </c>
      <c r="L158" s="31">
        <f>AP158+MIN(V157+AF158-AP158,MAX(0,ROUND(ROUND(Долги!$D$19-SUM($AL158:$AU158),2)-(SUM($H158:K158)-SUM($AL158:AO158)),2)))</f>
        <v>0.0</v>
      </c>
      <c r="M158" s="31">
        <f>AQ158+MIN(W157+AG158-AQ158,MAX(0,ROUND(ROUND(Долги!$D$19-SUM($AL158:$AU158),2)-(SUM($H158:L158)-SUM($AL158:AP158)),2)))</f>
        <v>0.0</v>
      </c>
      <c r="N158" s="31">
        <f>AR158+MIN(X157+AH158-AR158,MAX(0,ROUND(ROUND(Долги!$D$19-SUM($AL158:$AU158),2)-(SUM($H158:M158)-SUM($AL158:AQ158)),2)))</f>
        <v>0.0</v>
      </c>
      <c r="O158" s="31">
        <f>AS158+MIN(Y157+AI158-AS158,MAX(0,ROUND(ROUND(Долги!$D$19-SUM($AL158:$AU158),2)-(SUM($H158:N158)-SUM($AL158:AR158)),2)))</f>
        <v>0.0</v>
      </c>
      <c r="P158" s="31">
        <f>AT158+MIN(Z157+AJ158-AT158,MAX(0,ROUND(ROUND(Долги!$D$19-SUM($AL158:$AU158),2)-(SUM($H158:O158)-SUM($AL158:AS158)),2)))</f>
        <v>0.0</v>
      </c>
      <c r="Q158" s="31">
        <f>AU158+MIN(AA157+AK158-AU158,MAX(0,ROUND(ROUND(Долги!$D$19-SUM($AL158:$AU158),2)-(SUM($H158:P158)-SUM($AL158:AT158)),2)))</f>
        <v>0.0</v>
      </c>
      <c r="R158" s="31">
        <f>IF(R157+AB158-H158&lt;=0.01,0,ROUND(R157+AB158-H158,2))</f>
        <v>0.0</v>
      </c>
      <c r="S158" s="31">
        <f>IF(S157+AC158-I158&lt;=0.01,0,ROUND(S157+AC158-I158,2))</f>
        <v>0.0</v>
      </c>
      <c r="T158" s="31">
        <f>IF(T157+AD158-J158&lt;=0.01,0,ROUND(T157+AD158-J158,2))</f>
        <v>0.0</v>
      </c>
      <c r="U158" s="31">
        <f>IF(U157+AE158-K158&lt;=0.01,0,ROUND(U157+AE158-K158,2))</f>
        <v>0.0</v>
      </c>
      <c r="V158" s="31">
        <f>IF(V157+AF158-L158&lt;=0.01,0,ROUND(V157+AF158-L158,2))</f>
        <v>0.0</v>
      </c>
      <c r="W158" s="31">
        <f>IF(W157+AG158-M158&lt;=0.01,0,ROUND(W157+AG158-M158,2))</f>
        <v>0.0</v>
      </c>
      <c r="X158" s="31">
        <f>IF(X157+AH158-N158&lt;=0.01,0,ROUND(X157+AH158-N158,2))</f>
        <v>0.0</v>
      </c>
      <c r="Y158" s="31">
        <f>IF(Y157+AI158-O158&lt;=0.01,0,ROUND(Y157+AI158-O158,2))</f>
        <v>0.0</v>
      </c>
      <c r="Z158" s="31">
        <f>IF(Z157+AJ158-P158&lt;=0.01,0,ROUND(Z157+AJ158-P158,2))</f>
        <v>0.0</v>
      </c>
      <c r="AA158" s="31">
        <f>IF(AA157+AK158-Q158&lt;=0.01,0,ROUND(AA157+AK158-Q158,2))</f>
        <v>0.0</v>
      </c>
      <c r="AB158" s="31">
        <f>ROUND(R157*AB$5/1200,2)</f>
        <v>0.0</v>
      </c>
      <c r="AC158" s="31">
        <f>ROUND(S157*AC$5/1200,2)</f>
        <v>0.0</v>
      </c>
      <c r="AD158" s="31">
        <f>ROUND(T157*AD$5/1200,2)</f>
        <v>0.0</v>
      </c>
      <c r="AE158" s="31">
        <f>ROUND(U157*AE$5/1200,2)</f>
        <v>0.0</v>
      </c>
      <c r="AF158" s="31">
        <f>ROUND(V157*AF$5/1200,2)</f>
        <v>0.0</v>
      </c>
      <c r="AG158" s="31">
        <f>ROUND(W157*AG$5/1200,2)</f>
        <v>0.0</v>
      </c>
      <c r="AH158" s="31">
        <f>ROUND(X157*AH$5/1200,2)</f>
        <v>0.0</v>
      </c>
      <c r="AI158" s="31">
        <f>ROUND(Y157*AI$5/1200,2)</f>
        <v>0.0</v>
      </c>
      <c r="AJ158" s="31">
        <f>ROUND(Z157*AJ$5/1200,2)</f>
        <v>0.0</v>
      </c>
      <c r="AK158" s="31">
        <f>ROUND(AA157*AK$5/1200,2)</f>
        <v>0.0</v>
      </c>
      <c r="AL158" s="31">
        <f>MIN(AL$5,R157+AB158)</f>
        <v>0.0</v>
      </c>
      <c r="AM158" s="31">
        <f>MIN(AM$5,S157+AC158)</f>
        <v>0.0</v>
      </c>
      <c r="AN158" s="31">
        <f>MIN(AN$5,T157+AD158)</f>
        <v>0.0</v>
      </c>
      <c r="AO158" s="31">
        <f>MIN(AO$5,U157+AE158)</f>
        <v>0.0</v>
      </c>
      <c r="AP158" s="31">
        <f>MIN(AP$5,V157+AF158)</f>
        <v>0.0</v>
      </c>
      <c r="AQ158" s="31">
        <f>MIN(AQ$5,W157+AG158)</f>
        <v>0.0</v>
      </c>
      <c r="AR158" s="31">
        <f>MIN(AR$5,X157+AH158)</f>
        <v>0.0</v>
      </c>
      <c r="AS158" s="31">
        <f>MIN(AS$5,Y157+AI158)</f>
        <v>0.0</v>
      </c>
      <c r="AT158" s="31">
        <f>MIN(AT$5,Z157+AJ158)</f>
        <v>0.0</v>
      </c>
      <c r="AU158" s="31">
        <f>MIN(AU$5,AA157+AK158)</f>
        <v>0.0</v>
      </c>
    </row>
    <row r="159">
      <c r="A159" s="25" t="str">
        <f>IF(F158&gt;0.005,154,"")</f>
        <v/>
      </c>
      <c r="B159" s="33" t="str">
        <f>IF(A159="","",EDATE(Долги!$D$5,153))</f>
        <v/>
      </c>
      <c r="C159" s="31">
        <f>SUM(H159:Q159)</f>
        <v>0.0</v>
      </c>
      <c r="D159" s="31">
        <f>SUM(AB159:AK159)</f>
        <v>0.0</v>
      </c>
      <c r="E159" s="31">
        <f>C159-D159</f>
        <v>0.0</v>
      </c>
      <c r="F159" s="31">
        <f>SUM(R159:AA159)</f>
        <v>0.0</v>
      </c>
      <c r="G159" s="34" t="str">
        <f>IF(OR(A159="",$F$5&lt;=0),"",REPT("█",ROUND(20*F159/$F$5,0)))</f>
        <v/>
      </c>
      <c r="H159" s="31">
        <f>AL159+MIN(R158+AB159-AL159,MAX(0,ROUND(Долги!$D$19-SUM($AL159:$AU159),2)))</f>
        <v>0.0</v>
      </c>
      <c r="I159" s="31">
        <f>AM159+MIN(S158+AC159-AM159,MAX(0,ROUND(ROUND(Долги!$D$19-SUM($AL159:$AU159),2)-(SUM($H159:H159)-SUM($AL159:AL159)),2)))</f>
        <v>0.0</v>
      </c>
      <c r="J159" s="31">
        <f>AN159+MIN(T158+AD159-AN159,MAX(0,ROUND(ROUND(Долги!$D$19-SUM($AL159:$AU159),2)-(SUM($H159:I159)-SUM($AL159:AM159)),2)))</f>
        <v>0.0</v>
      </c>
      <c r="K159" s="31">
        <f>AO159+MIN(U158+AE159-AO159,MAX(0,ROUND(ROUND(Долги!$D$19-SUM($AL159:$AU159),2)-(SUM($H159:J159)-SUM($AL159:AN159)),2)))</f>
        <v>0.0</v>
      </c>
      <c r="L159" s="31">
        <f>AP159+MIN(V158+AF159-AP159,MAX(0,ROUND(ROUND(Долги!$D$19-SUM($AL159:$AU159),2)-(SUM($H159:K159)-SUM($AL159:AO159)),2)))</f>
        <v>0.0</v>
      </c>
      <c r="M159" s="31">
        <f>AQ159+MIN(W158+AG159-AQ159,MAX(0,ROUND(ROUND(Долги!$D$19-SUM($AL159:$AU159),2)-(SUM($H159:L159)-SUM($AL159:AP159)),2)))</f>
        <v>0.0</v>
      </c>
      <c r="N159" s="31">
        <f>AR159+MIN(X158+AH159-AR159,MAX(0,ROUND(ROUND(Долги!$D$19-SUM($AL159:$AU159),2)-(SUM($H159:M159)-SUM($AL159:AQ159)),2)))</f>
        <v>0.0</v>
      </c>
      <c r="O159" s="31">
        <f>AS159+MIN(Y158+AI159-AS159,MAX(0,ROUND(ROUND(Долги!$D$19-SUM($AL159:$AU159),2)-(SUM($H159:N159)-SUM($AL159:AR159)),2)))</f>
        <v>0.0</v>
      </c>
      <c r="P159" s="31">
        <f>AT159+MIN(Z158+AJ159-AT159,MAX(0,ROUND(ROUND(Долги!$D$19-SUM($AL159:$AU159),2)-(SUM($H159:O159)-SUM($AL159:AS159)),2)))</f>
        <v>0.0</v>
      </c>
      <c r="Q159" s="31">
        <f>AU159+MIN(AA158+AK159-AU159,MAX(0,ROUND(ROUND(Долги!$D$19-SUM($AL159:$AU159),2)-(SUM($H159:P159)-SUM($AL159:AT159)),2)))</f>
        <v>0.0</v>
      </c>
      <c r="R159" s="31">
        <f>IF(R158+AB159-H159&lt;=0.01,0,ROUND(R158+AB159-H159,2))</f>
        <v>0.0</v>
      </c>
      <c r="S159" s="31">
        <f>IF(S158+AC159-I159&lt;=0.01,0,ROUND(S158+AC159-I159,2))</f>
        <v>0.0</v>
      </c>
      <c r="T159" s="31">
        <f>IF(T158+AD159-J159&lt;=0.01,0,ROUND(T158+AD159-J159,2))</f>
        <v>0.0</v>
      </c>
      <c r="U159" s="31">
        <f>IF(U158+AE159-K159&lt;=0.01,0,ROUND(U158+AE159-K159,2))</f>
        <v>0.0</v>
      </c>
      <c r="V159" s="31">
        <f>IF(V158+AF159-L159&lt;=0.01,0,ROUND(V158+AF159-L159,2))</f>
        <v>0.0</v>
      </c>
      <c r="W159" s="31">
        <f>IF(W158+AG159-M159&lt;=0.01,0,ROUND(W158+AG159-M159,2))</f>
        <v>0.0</v>
      </c>
      <c r="X159" s="31">
        <f>IF(X158+AH159-N159&lt;=0.01,0,ROUND(X158+AH159-N159,2))</f>
        <v>0.0</v>
      </c>
      <c r="Y159" s="31">
        <f>IF(Y158+AI159-O159&lt;=0.01,0,ROUND(Y158+AI159-O159,2))</f>
        <v>0.0</v>
      </c>
      <c r="Z159" s="31">
        <f>IF(Z158+AJ159-P159&lt;=0.01,0,ROUND(Z158+AJ159-P159,2))</f>
        <v>0.0</v>
      </c>
      <c r="AA159" s="31">
        <f>IF(AA158+AK159-Q159&lt;=0.01,0,ROUND(AA158+AK159-Q159,2))</f>
        <v>0.0</v>
      </c>
      <c r="AB159" s="31">
        <f>ROUND(R158*AB$5/1200,2)</f>
        <v>0.0</v>
      </c>
      <c r="AC159" s="31">
        <f>ROUND(S158*AC$5/1200,2)</f>
        <v>0.0</v>
      </c>
      <c r="AD159" s="31">
        <f>ROUND(T158*AD$5/1200,2)</f>
        <v>0.0</v>
      </c>
      <c r="AE159" s="31">
        <f>ROUND(U158*AE$5/1200,2)</f>
        <v>0.0</v>
      </c>
      <c r="AF159" s="31">
        <f>ROUND(V158*AF$5/1200,2)</f>
        <v>0.0</v>
      </c>
      <c r="AG159" s="31">
        <f>ROUND(W158*AG$5/1200,2)</f>
        <v>0.0</v>
      </c>
      <c r="AH159" s="31">
        <f>ROUND(X158*AH$5/1200,2)</f>
        <v>0.0</v>
      </c>
      <c r="AI159" s="31">
        <f>ROUND(Y158*AI$5/1200,2)</f>
        <v>0.0</v>
      </c>
      <c r="AJ159" s="31">
        <f>ROUND(Z158*AJ$5/1200,2)</f>
        <v>0.0</v>
      </c>
      <c r="AK159" s="31">
        <f>ROUND(AA158*AK$5/1200,2)</f>
        <v>0.0</v>
      </c>
      <c r="AL159" s="31">
        <f>MIN(AL$5,R158+AB159)</f>
        <v>0.0</v>
      </c>
      <c r="AM159" s="31">
        <f>MIN(AM$5,S158+AC159)</f>
        <v>0.0</v>
      </c>
      <c r="AN159" s="31">
        <f>MIN(AN$5,T158+AD159)</f>
        <v>0.0</v>
      </c>
      <c r="AO159" s="31">
        <f>MIN(AO$5,U158+AE159)</f>
        <v>0.0</v>
      </c>
      <c r="AP159" s="31">
        <f>MIN(AP$5,V158+AF159)</f>
        <v>0.0</v>
      </c>
      <c r="AQ159" s="31">
        <f>MIN(AQ$5,W158+AG159)</f>
        <v>0.0</v>
      </c>
      <c r="AR159" s="31">
        <f>MIN(AR$5,X158+AH159)</f>
        <v>0.0</v>
      </c>
      <c r="AS159" s="31">
        <f>MIN(AS$5,Y158+AI159)</f>
        <v>0.0</v>
      </c>
      <c r="AT159" s="31">
        <f>MIN(AT$5,Z158+AJ159)</f>
        <v>0.0</v>
      </c>
      <c r="AU159" s="31">
        <f>MIN(AU$5,AA158+AK159)</f>
        <v>0.0</v>
      </c>
    </row>
    <row r="160">
      <c r="A160" s="25" t="str">
        <f>IF(F159&gt;0.005,155,"")</f>
        <v/>
      </c>
      <c r="B160" s="33" t="str">
        <f>IF(A160="","",EDATE(Долги!$D$5,154))</f>
        <v/>
      </c>
      <c r="C160" s="31">
        <f>SUM(H160:Q160)</f>
        <v>0.0</v>
      </c>
      <c r="D160" s="31">
        <f>SUM(AB160:AK160)</f>
        <v>0.0</v>
      </c>
      <c r="E160" s="31">
        <f>C160-D160</f>
        <v>0.0</v>
      </c>
      <c r="F160" s="31">
        <f>SUM(R160:AA160)</f>
        <v>0.0</v>
      </c>
      <c r="G160" s="34" t="str">
        <f>IF(OR(A160="",$F$5&lt;=0),"",REPT("█",ROUND(20*F160/$F$5,0)))</f>
        <v/>
      </c>
      <c r="H160" s="31">
        <f>AL160+MIN(R159+AB160-AL160,MAX(0,ROUND(Долги!$D$19-SUM($AL160:$AU160),2)))</f>
        <v>0.0</v>
      </c>
      <c r="I160" s="31">
        <f>AM160+MIN(S159+AC160-AM160,MAX(0,ROUND(ROUND(Долги!$D$19-SUM($AL160:$AU160),2)-(SUM($H160:H160)-SUM($AL160:AL160)),2)))</f>
        <v>0.0</v>
      </c>
      <c r="J160" s="31">
        <f>AN160+MIN(T159+AD160-AN160,MAX(0,ROUND(ROUND(Долги!$D$19-SUM($AL160:$AU160),2)-(SUM($H160:I160)-SUM($AL160:AM160)),2)))</f>
        <v>0.0</v>
      </c>
      <c r="K160" s="31">
        <f>AO160+MIN(U159+AE160-AO160,MAX(0,ROUND(ROUND(Долги!$D$19-SUM($AL160:$AU160),2)-(SUM($H160:J160)-SUM($AL160:AN160)),2)))</f>
        <v>0.0</v>
      </c>
      <c r="L160" s="31">
        <f>AP160+MIN(V159+AF160-AP160,MAX(0,ROUND(ROUND(Долги!$D$19-SUM($AL160:$AU160),2)-(SUM($H160:K160)-SUM($AL160:AO160)),2)))</f>
        <v>0.0</v>
      </c>
      <c r="M160" s="31">
        <f>AQ160+MIN(W159+AG160-AQ160,MAX(0,ROUND(ROUND(Долги!$D$19-SUM($AL160:$AU160),2)-(SUM($H160:L160)-SUM($AL160:AP160)),2)))</f>
        <v>0.0</v>
      </c>
      <c r="N160" s="31">
        <f>AR160+MIN(X159+AH160-AR160,MAX(0,ROUND(ROUND(Долги!$D$19-SUM($AL160:$AU160),2)-(SUM($H160:M160)-SUM($AL160:AQ160)),2)))</f>
        <v>0.0</v>
      </c>
      <c r="O160" s="31">
        <f>AS160+MIN(Y159+AI160-AS160,MAX(0,ROUND(ROUND(Долги!$D$19-SUM($AL160:$AU160),2)-(SUM($H160:N160)-SUM($AL160:AR160)),2)))</f>
        <v>0.0</v>
      </c>
      <c r="P160" s="31">
        <f>AT160+MIN(Z159+AJ160-AT160,MAX(0,ROUND(ROUND(Долги!$D$19-SUM($AL160:$AU160),2)-(SUM($H160:O160)-SUM($AL160:AS160)),2)))</f>
        <v>0.0</v>
      </c>
      <c r="Q160" s="31">
        <f>AU160+MIN(AA159+AK160-AU160,MAX(0,ROUND(ROUND(Долги!$D$19-SUM($AL160:$AU160),2)-(SUM($H160:P160)-SUM($AL160:AT160)),2)))</f>
        <v>0.0</v>
      </c>
      <c r="R160" s="31">
        <f>IF(R159+AB160-H160&lt;=0.01,0,ROUND(R159+AB160-H160,2))</f>
        <v>0.0</v>
      </c>
      <c r="S160" s="31">
        <f>IF(S159+AC160-I160&lt;=0.01,0,ROUND(S159+AC160-I160,2))</f>
        <v>0.0</v>
      </c>
      <c r="T160" s="31">
        <f>IF(T159+AD160-J160&lt;=0.01,0,ROUND(T159+AD160-J160,2))</f>
        <v>0.0</v>
      </c>
      <c r="U160" s="31">
        <f>IF(U159+AE160-K160&lt;=0.01,0,ROUND(U159+AE160-K160,2))</f>
        <v>0.0</v>
      </c>
      <c r="V160" s="31">
        <f>IF(V159+AF160-L160&lt;=0.01,0,ROUND(V159+AF160-L160,2))</f>
        <v>0.0</v>
      </c>
      <c r="W160" s="31">
        <f>IF(W159+AG160-M160&lt;=0.01,0,ROUND(W159+AG160-M160,2))</f>
        <v>0.0</v>
      </c>
      <c r="X160" s="31">
        <f>IF(X159+AH160-N160&lt;=0.01,0,ROUND(X159+AH160-N160,2))</f>
        <v>0.0</v>
      </c>
      <c r="Y160" s="31">
        <f>IF(Y159+AI160-O160&lt;=0.01,0,ROUND(Y159+AI160-O160,2))</f>
        <v>0.0</v>
      </c>
      <c r="Z160" s="31">
        <f>IF(Z159+AJ160-P160&lt;=0.01,0,ROUND(Z159+AJ160-P160,2))</f>
        <v>0.0</v>
      </c>
      <c r="AA160" s="31">
        <f>IF(AA159+AK160-Q160&lt;=0.01,0,ROUND(AA159+AK160-Q160,2))</f>
        <v>0.0</v>
      </c>
      <c r="AB160" s="31">
        <f>ROUND(R159*AB$5/1200,2)</f>
        <v>0.0</v>
      </c>
      <c r="AC160" s="31">
        <f>ROUND(S159*AC$5/1200,2)</f>
        <v>0.0</v>
      </c>
      <c r="AD160" s="31">
        <f>ROUND(T159*AD$5/1200,2)</f>
        <v>0.0</v>
      </c>
      <c r="AE160" s="31">
        <f>ROUND(U159*AE$5/1200,2)</f>
        <v>0.0</v>
      </c>
      <c r="AF160" s="31">
        <f>ROUND(V159*AF$5/1200,2)</f>
        <v>0.0</v>
      </c>
      <c r="AG160" s="31">
        <f>ROUND(W159*AG$5/1200,2)</f>
        <v>0.0</v>
      </c>
      <c r="AH160" s="31">
        <f>ROUND(X159*AH$5/1200,2)</f>
        <v>0.0</v>
      </c>
      <c r="AI160" s="31">
        <f>ROUND(Y159*AI$5/1200,2)</f>
        <v>0.0</v>
      </c>
      <c r="AJ160" s="31">
        <f>ROUND(Z159*AJ$5/1200,2)</f>
        <v>0.0</v>
      </c>
      <c r="AK160" s="31">
        <f>ROUND(AA159*AK$5/1200,2)</f>
        <v>0.0</v>
      </c>
      <c r="AL160" s="31">
        <f>MIN(AL$5,R159+AB160)</f>
        <v>0.0</v>
      </c>
      <c r="AM160" s="31">
        <f>MIN(AM$5,S159+AC160)</f>
        <v>0.0</v>
      </c>
      <c r="AN160" s="31">
        <f>MIN(AN$5,T159+AD160)</f>
        <v>0.0</v>
      </c>
      <c r="AO160" s="31">
        <f>MIN(AO$5,U159+AE160)</f>
        <v>0.0</v>
      </c>
      <c r="AP160" s="31">
        <f>MIN(AP$5,V159+AF160)</f>
        <v>0.0</v>
      </c>
      <c r="AQ160" s="31">
        <f>MIN(AQ$5,W159+AG160)</f>
        <v>0.0</v>
      </c>
      <c r="AR160" s="31">
        <f>MIN(AR$5,X159+AH160)</f>
        <v>0.0</v>
      </c>
      <c r="AS160" s="31">
        <f>MIN(AS$5,Y159+AI160)</f>
        <v>0.0</v>
      </c>
      <c r="AT160" s="31">
        <f>MIN(AT$5,Z159+AJ160)</f>
        <v>0.0</v>
      </c>
      <c r="AU160" s="31">
        <f>MIN(AU$5,AA159+AK160)</f>
        <v>0.0</v>
      </c>
    </row>
    <row r="161">
      <c r="A161" s="25" t="str">
        <f>IF(F160&gt;0.005,156,"")</f>
        <v/>
      </c>
      <c r="B161" s="33" t="str">
        <f>IF(A161="","",EDATE(Долги!$D$5,155))</f>
        <v/>
      </c>
      <c r="C161" s="31">
        <f>SUM(H161:Q161)</f>
        <v>0.0</v>
      </c>
      <c r="D161" s="31">
        <f>SUM(AB161:AK161)</f>
        <v>0.0</v>
      </c>
      <c r="E161" s="31">
        <f>C161-D161</f>
        <v>0.0</v>
      </c>
      <c r="F161" s="31">
        <f>SUM(R161:AA161)</f>
        <v>0.0</v>
      </c>
      <c r="G161" s="34" t="str">
        <f>IF(OR(A161="",$F$5&lt;=0),"",REPT("█",ROUND(20*F161/$F$5,0)))</f>
        <v/>
      </c>
      <c r="H161" s="31">
        <f>AL161+MIN(R160+AB161-AL161,MAX(0,ROUND(Долги!$D$19-SUM($AL161:$AU161),2)))</f>
        <v>0.0</v>
      </c>
      <c r="I161" s="31">
        <f>AM161+MIN(S160+AC161-AM161,MAX(0,ROUND(ROUND(Долги!$D$19-SUM($AL161:$AU161),2)-(SUM($H161:H161)-SUM($AL161:AL161)),2)))</f>
        <v>0.0</v>
      </c>
      <c r="J161" s="31">
        <f>AN161+MIN(T160+AD161-AN161,MAX(0,ROUND(ROUND(Долги!$D$19-SUM($AL161:$AU161),2)-(SUM($H161:I161)-SUM($AL161:AM161)),2)))</f>
        <v>0.0</v>
      </c>
      <c r="K161" s="31">
        <f>AO161+MIN(U160+AE161-AO161,MAX(0,ROUND(ROUND(Долги!$D$19-SUM($AL161:$AU161),2)-(SUM($H161:J161)-SUM($AL161:AN161)),2)))</f>
        <v>0.0</v>
      </c>
      <c r="L161" s="31">
        <f>AP161+MIN(V160+AF161-AP161,MAX(0,ROUND(ROUND(Долги!$D$19-SUM($AL161:$AU161),2)-(SUM($H161:K161)-SUM($AL161:AO161)),2)))</f>
        <v>0.0</v>
      </c>
      <c r="M161" s="31">
        <f>AQ161+MIN(W160+AG161-AQ161,MAX(0,ROUND(ROUND(Долги!$D$19-SUM($AL161:$AU161),2)-(SUM($H161:L161)-SUM($AL161:AP161)),2)))</f>
        <v>0.0</v>
      </c>
      <c r="N161" s="31">
        <f>AR161+MIN(X160+AH161-AR161,MAX(0,ROUND(ROUND(Долги!$D$19-SUM($AL161:$AU161),2)-(SUM($H161:M161)-SUM($AL161:AQ161)),2)))</f>
        <v>0.0</v>
      </c>
      <c r="O161" s="31">
        <f>AS161+MIN(Y160+AI161-AS161,MAX(0,ROUND(ROUND(Долги!$D$19-SUM($AL161:$AU161),2)-(SUM($H161:N161)-SUM($AL161:AR161)),2)))</f>
        <v>0.0</v>
      </c>
      <c r="P161" s="31">
        <f>AT161+MIN(Z160+AJ161-AT161,MAX(0,ROUND(ROUND(Долги!$D$19-SUM($AL161:$AU161),2)-(SUM($H161:O161)-SUM($AL161:AS161)),2)))</f>
        <v>0.0</v>
      </c>
      <c r="Q161" s="31">
        <f>AU161+MIN(AA160+AK161-AU161,MAX(0,ROUND(ROUND(Долги!$D$19-SUM($AL161:$AU161),2)-(SUM($H161:P161)-SUM($AL161:AT161)),2)))</f>
        <v>0.0</v>
      </c>
      <c r="R161" s="31">
        <f>IF(R160+AB161-H161&lt;=0.01,0,ROUND(R160+AB161-H161,2))</f>
        <v>0.0</v>
      </c>
      <c r="S161" s="31">
        <f>IF(S160+AC161-I161&lt;=0.01,0,ROUND(S160+AC161-I161,2))</f>
        <v>0.0</v>
      </c>
      <c r="T161" s="31">
        <f>IF(T160+AD161-J161&lt;=0.01,0,ROUND(T160+AD161-J161,2))</f>
        <v>0.0</v>
      </c>
      <c r="U161" s="31">
        <f>IF(U160+AE161-K161&lt;=0.01,0,ROUND(U160+AE161-K161,2))</f>
        <v>0.0</v>
      </c>
      <c r="V161" s="31">
        <f>IF(V160+AF161-L161&lt;=0.01,0,ROUND(V160+AF161-L161,2))</f>
        <v>0.0</v>
      </c>
      <c r="W161" s="31">
        <f>IF(W160+AG161-M161&lt;=0.01,0,ROUND(W160+AG161-M161,2))</f>
        <v>0.0</v>
      </c>
      <c r="X161" s="31">
        <f>IF(X160+AH161-N161&lt;=0.01,0,ROUND(X160+AH161-N161,2))</f>
        <v>0.0</v>
      </c>
      <c r="Y161" s="31">
        <f>IF(Y160+AI161-O161&lt;=0.01,0,ROUND(Y160+AI161-O161,2))</f>
        <v>0.0</v>
      </c>
      <c r="Z161" s="31">
        <f>IF(Z160+AJ161-P161&lt;=0.01,0,ROUND(Z160+AJ161-P161,2))</f>
        <v>0.0</v>
      </c>
      <c r="AA161" s="31">
        <f>IF(AA160+AK161-Q161&lt;=0.01,0,ROUND(AA160+AK161-Q161,2))</f>
        <v>0.0</v>
      </c>
      <c r="AB161" s="31">
        <f>ROUND(R160*AB$5/1200,2)</f>
        <v>0.0</v>
      </c>
      <c r="AC161" s="31">
        <f>ROUND(S160*AC$5/1200,2)</f>
        <v>0.0</v>
      </c>
      <c r="AD161" s="31">
        <f>ROUND(T160*AD$5/1200,2)</f>
        <v>0.0</v>
      </c>
      <c r="AE161" s="31">
        <f>ROUND(U160*AE$5/1200,2)</f>
        <v>0.0</v>
      </c>
      <c r="AF161" s="31">
        <f>ROUND(V160*AF$5/1200,2)</f>
        <v>0.0</v>
      </c>
      <c r="AG161" s="31">
        <f>ROUND(W160*AG$5/1200,2)</f>
        <v>0.0</v>
      </c>
      <c r="AH161" s="31">
        <f>ROUND(X160*AH$5/1200,2)</f>
        <v>0.0</v>
      </c>
      <c r="AI161" s="31">
        <f>ROUND(Y160*AI$5/1200,2)</f>
        <v>0.0</v>
      </c>
      <c r="AJ161" s="31">
        <f>ROUND(Z160*AJ$5/1200,2)</f>
        <v>0.0</v>
      </c>
      <c r="AK161" s="31">
        <f>ROUND(AA160*AK$5/1200,2)</f>
        <v>0.0</v>
      </c>
      <c r="AL161" s="31">
        <f>MIN(AL$5,R160+AB161)</f>
        <v>0.0</v>
      </c>
      <c r="AM161" s="31">
        <f>MIN(AM$5,S160+AC161)</f>
        <v>0.0</v>
      </c>
      <c r="AN161" s="31">
        <f>MIN(AN$5,T160+AD161)</f>
        <v>0.0</v>
      </c>
      <c r="AO161" s="31">
        <f>MIN(AO$5,U160+AE161)</f>
        <v>0.0</v>
      </c>
      <c r="AP161" s="31">
        <f>MIN(AP$5,V160+AF161)</f>
        <v>0.0</v>
      </c>
      <c r="AQ161" s="31">
        <f>MIN(AQ$5,W160+AG161)</f>
        <v>0.0</v>
      </c>
      <c r="AR161" s="31">
        <f>MIN(AR$5,X160+AH161)</f>
        <v>0.0</v>
      </c>
      <c r="AS161" s="31">
        <f>MIN(AS$5,Y160+AI161)</f>
        <v>0.0</v>
      </c>
      <c r="AT161" s="31">
        <f>MIN(AT$5,Z160+AJ161)</f>
        <v>0.0</v>
      </c>
      <c r="AU161" s="31">
        <f>MIN(AU$5,AA160+AK161)</f>
        <v>0.0</v>
      </c>
    </row>
    <row r="162">
      <c r="A162" s="25" t="str">
        <f>IF(F161&gt;0.005,157,"")</f>
        <v/>
      </c>
      <c r="B162" s="33" t="str">
        <f>IF(A162="","",EDATE(Долги!$D$5,156))</f>
        <v/>
      </c>
      <c r="C162" s="31">
        <f>SUM(H162:Q162)</f>
        <v>0.0</v>
      </c>
      <c r="D162" s="31">
        <f>SUM(AB162:AK162)</f>
        <v>0.0</v>
      </c>
      <c r="E162" s="31">
        <f>C162-D162</f>
        <v>0.0</v>
      </c>
      <c r="F162" s="31">
        <f>SUM(R162:AA162)</f>
        <v>0.0</v>
      </c>
      <c r="G162" s="34" t="str">
        <f>IF(OR(A162="",$F$5&lt;=0),"",REPT("█",ROUND(20*F162/$F$5,0)))</f>
        <v/>
      </c>
      <c r="H162" s="31">
        <f>AL162+MIN(R161+AB162-AL162,MAX(0,ROUND(Долги!$D$19-SUM($AL162:$AU162),2)))</f>
        <v>0.0</v>
      </c>
      <c r="I162" s="31">
        <f>AM162+MIN(S161+AC162-AM162,MAX(0,ROUND(ROUND(Долги!$D$19-SUM($AL162:$AU162),2)-(SUM($H162:H162)-SUM($AL162:AL162)),2)))</f>
        <v>0.0</v>
      </c>
      <c r="J162" s="31">
        <f>AN162+MIN(T161+AD162-AN162,MAX(0,ROUND(ROUND(Долги!$D$19-SUM($AL162:$AU162),2)-(SUM($H162:I162)-SUM($AL162:AM162)),2)))</f>
        <v>0.0</v>
      </c>
      <c r="K162" s="31">
        <f>AO162+MIN(U161+AE162-AO162,MAX(0,ROUND(ROUND(Долги!$D$19-SUM($AL162:$AU162),2)-(SUM($H162:J162)-SUM($AL162:AN162)),2)))</f>
        <v>0.0</v>
      </c>
      <c r="L162" s="31">
        <f>AP162+MIN(V161+AF162-AP162,MAX(0,ROUND(ROUND(Долги!$D$19-SUM($AL162:$AU162),2)-(SUM($H162:K162)-SUM($AL162:AO162)),2)))</f>
        <v>0.0</v>
      </c>
      <c r="M162" s="31">
        <f>AQ162+MIN(W161+AG162-AQ162,MAX(0,ROUND(ROUND(Долги!$D$19-SUM($AL162:$AU162),2)-(SUM($H162:L162)-SUM($AL162:AP162)),2)))</f>
        <v>0.0</v>
      </c>
      <c r="N162" s="31">
        <f>AR162+MIN(X161+AH162-AR162,MAX(0,ROUND(ROUND(Долги!$D$19-SUM($AL162:$AU162),2)-(SUM($H162:M162)-SUM($AL162:AQ162)),2)))</f>
        <v>0.0</v>
      </c>
      <c r="O162" s="31">
        <f>AS162+MIN(Y161+AI162-AS162,MAX(0,ROUND(ROUND(Долги!$D$19-SUM($AL162:$AU162),2)-(SUM($H162:N162)-SUM($AL162:AR162)),2)))</f>
        <v>0.0</v>
      </c>
      <c r="P162" s="31">
        <f>AT162+MIN(Z161+AJ162-AT162,MAX(0,ROUND(ROUND(Долги!$D$19-SUM($AL162:$AU162),2)-(SUM($H162:O162)-SUM($AL162:AS162)),2)))</f>
        <v>0.0</v>
      </c>
      <c r="Q162" s="31">
        <f>AU162+MIN(AA161+AK162-AU162,MAX(0,ROUND(ROUND(Долги!$D$19-SUM($AL162:$AU162),2)-(SUM($H162:P162)-SUM($AL162:AT162)),2)))</f>
        <v>0.0</v>
      </c>
      <c r="R162" s="31">
        <f>IF(R161+AB162-H162&lt;=0.01,0,ROUND(R161+AB162-H162,2))</f>
        <v>0.0</v>
      </c>
      <c r="S162" s="31">
        <f>IF(S161+AC162-I162&lt;=0.01,0,ROUND(S161+AC162-I162,2))</f>
        <v>0.0</v>
      </c>
      <c r="T162" s="31">
        <f>IF(T161+AD162-J162&lt;=0.01,0,ROUND(T161+AD162-J162,2))</f>
        <v>0.0</v>
      </c>
      <c r="U162" s="31">
        <f>IF(U161+AE162-K162&lt;=0.01,0,ROUND(U161+AE162-K162,2))</f>
        <v>0.0</v>
      </c>
      <c r="V162" s="31">
        <f>IF(V161+AF162-L162&lt;=0.01,0,ROUND(V161+AF162-L162,2))</f>
        <v>0.0</v>
      </c>
      <c r="W162" s="31">
        <f>IF(W161+AG162-M162&lt;=0.01,0,ROUND(W161+AG162-M162,2))</f>
        <v>0.0</v>
      </c>
      <c r="X162" s="31">
        <f>IF(X161+AH162-N162&lt;=0.01,0,ROUND(X161+AH162-N162,2))</f>
        <v>0.0</v>
      </c>
      <c r="Y162" s="31">
        <f>IF(Y161+AI162-O162&lt;=0.01,0,ROUND(Y161+AI162-O162,2))</f>
        <v>0.0</v>
      </c>
      <c r="Z162" s="31">
        <f>IF(Z161+AJ162-P162&lt;=0.01,0,ROUND(Z161+AJ162-P162,2))</f>
        <v>0.0</v>
      </c>
      <c r="AA162" s="31">
        <f>IF(AA161+AK162-Q162&lt;=0.01,0,ROUND(AA161+AK162-Q162,2))</f>
        <v>0.0</v>
      </c>
      <c r="AB162" s="31">
        <f>ROUND(R161*AB$5/1200,2)</f>
        <v>0.0</v>
      </c>
      <c r="AC162" s="31">
        <f>ROUND(S161*AC$5/1200,2)</f>
        <v>0.0</v>
      </c>
      <c r="AD162" s="31">
        <f>ROUND(T161*AD$5/1200,2)</f>
        <v>0.0</v>
      </c>
      <c r="AE162" s="31">
        <f>ROUND(U161*AE$5/1200,2)</f>
        <v>0.0</v>
      </c>
      <c r="AF162" s="31">
        <f>ROUND(V161*AF$5/1200,2)</f>
        <v>0.0</v>
      </c>
      <c r="AG162" s="31">
        <f>ROUND(W161*AG$5/1200,2)</f>
        <v>0.0</v>
      </c>
      <c r="AH162" s="31">
        <f>ROUND(X161*AH$5/1200,2)</f>
        <v>0.0</v>
      </c>
      <c r="AI162" s="31">
        <f>ROUND(Y161*AI$5/1200,2)</f>
        <v>0.0</v>
      </c>
      <c r="AJ162" s="31">
        <f>ROUND(Z161*AJ$5/1200,2)</f>
        <v>0.0</v>
      </c>
      <c r="AK162" s="31">
        <f>ROUND(AA161*AK$5/1200,2)</f>
        <v>0.0</v>
      </c>
      <c r="AL162" s="31">
        <f>MIN(AL$5,R161+AB162)</f>
        <v>0.0</v>
      </c>
      <c r="AM162" s="31">
        <f>MIN(AM$5,S161+AC162)</f>
        <v>0.0</v>
      </c>
      <c r="AN162" s="31">
        <f>MIN(AN$5,T161+AD162)</f>
        <v>0.0</v>
      </c>
      <c r="AO162" s="31">
        <f>MIN(AO$5,U161+AE162)</f>
        <v>0.0</v>
      </c>
      <c r="AP162" s="31">
        <f>MIN(AP$5,V161+AF162)</f>
        <v>0.0</v>
      </c>
      <c r="AQ162" s="31">
        <f>MIN(AQ$5,W161+AG162)</f>
        <v>0.0</v>
      </c>
      <c r="AR162" s="31">
        <f>MIN(AR$5,X161+AH162)</f>
        <v>0.0</v>
      </c>
      <c r="AS162" s="31">
        <f>MIN(AS$5,Y161+AI162)</f>
        <v>0.0</v>
      </c>
      <c r="AT162" s="31">
        <f>MIN(AT$5,Z161+AJ162)</f>
        <v>0.0</v>
      </c>
      <c r="AU162" s="31">
        <f>MIN(AU$5,AA161+AK162)</f>
        <v>0.0</v>
      </c>
    </row>
    <row r="163">
      <c r="A163" s="25" t="str">
        <f>IF(F162&gt;0.005,158,"")</f>
        <v/>
      </c>
      <c r="B163" s="33" t="str">
        <f>IF(A163="","",EDATE(Долги!$D$5,157))</f>
        <v/>
      </c>
      <c r="C163" s="31">
        <f>SUM(H163:Q163)</f>
        <v>0.0</v>
      </c>
      <c r="D163" s="31">
        <f>SUM(AB163:AK163)</f>
        <v>0.0</v>
      </c>
      <c r="E163" s="31">
        <f>C163-D163</f>
        <v>0.0</v>
      </c>
      <c r="F163" s="31">
        <f>SUM(R163:AA163)</f>
        <v>0.0</v>
      </c>
      <c r="G163" s="34" t="str">
        <f>IF(OR(A163="",$F$5&lt;=0),"",REPT("█",ROUND(20*F163/$F$5,0)))</f>
        <v/>
      </c>
      <c r="H163" s="31">
        <f>AL163+MIN(R162+AB163-AL163,MAX(0,ROUND(Долги!$D$19-SUM($AL163:$AU163),2)))</f>
        <v>0.0</v>
      </c>
      <c r="I163" s="31">
        <f>AM163+MIN(S162+AC163-AM163,MAX(0,ROUND(ROUND(Долги!$D$19-SUM($AL163:$AU163),2)-(SUM($H163:H163)-SUM($AL163:AL163)),2)))</f>
        <v>0.0</v>
      </c>
      <c r="J163" s="31">
        <f>AN163+MIN(T162+AD163-AN163,MAX(0,ROUND(ROUND(Долги!$D$19-SUM($AL163:$AU163),2)-(SUM($H163:I163)-SUM($AL163:AM163)),2)))</f>
        <v>0.0</v>
      </c>
      <c r="K163" s="31">
        <f>AO163+MIN(U162+AE163-AO163,MAX(0,ROUND(ROUND(Долги!$D$19-SUM($AL163:$AU163),2)-(SUM($H163:J163)-SUM($AL163:AN163)),2)))</f>
        <v>0.0</v>
      </c>
      <c r="L163" s="31">
        <f>AP163+MIN(V162+AF163-AP163,MAX(0,ROUND(ROUND(Долги!$D$19-SUM($AL163:$AU163),2)-(SUM($H163:K163)-SUM($AL163:AO163)),2)))</f>
        <v>0.0</v>
      </c>
      <c r="M163" s="31">
        <f>AQ163+MIN(W162+AG163-AQ163,MAX(0,ROUND(ROUND(Долги!$D$19-SUM($AL163:$AU163),2)-(SUM($H163:L163)-SUM($AL163:AP163)),2)))</f>
        <v>0.0</v>
      </c>
      <c r="N163" s="31">
        <f>AR163+MIN(X162+AH163-AR163,MAX(0,ROUND(ROUND(Долги!$D$19-SUM($AL163:$AU163),2)-(SUM($H163:M163)-SUM($AL163:AQ163)),2)))</f>
        <v>0.0</v>
      </c>
      <c r="O163" s="31">
        <f>AS163+MIN(Y162+AI163-AS163,MAX(0,ROUND(ROUND(Долги!$D$19-SUM($AL163:$AU163),2)-(SUM($H163:N163)-SUM($AL163:AR163)),2)))</f>
        <v>0.0</v>
      </c>
      <c r="P163" s="31">
        <f>AT163+MIN(Z162+AJ163-AT163,MAX(0,ROUND(ROUND(Долги!$D$19-SUM($AL163:$AU163),2)-(SUM($H163:O163)-SUM($AL163:AS163)),2)))</f>
        <v>0.0</v>
      </c>
      <c r="Q163" s="31">
        <f>AU163+MIN(AA162+AK163-AU163,MAX(0,ROUND(ROUND(Долги!$D$19-SUM($AL163:$AU163),2)-(SUM($H163:P163)-SUM($AL163:AT163)),2)))</f>
        <v>0.0</v>
      </c>
      <c r="R163" s="31">
        <f>IF(R162+AB163-H163&lt;=0.01,0,ROUND(R162+AB163-H163,2))</f>
        <v>0.0</v>
      </c>
      <c r="S163" s="31">
        <f>IF(S162+AC163-I163&lt;=0.01,0,ROUND(S162+AC163-I163,2))</f>
        <v>0.0</v>
      </c>
      <c r="T163" s="31">
        <f>IF(T162+AD163-J163&lt;=0.01,0,ROUND(T162+AD163-J163,2))</f>
        <v>0.0</v>
      </c>
      <c r="U163" s="31">
        <f>IF(U162+AE163-K163&lt;=0.01,0,ROUND(U162+AE163-K163,2))</f>
        <v>0.0</v>
      </c>
      <c r="V163" s="31">
        <f>IF(V162+AF163-L163&lt;=0.01,0,ROUND(V162+AF163-L163,2))</f>
        <v>0.0</v>
      </c>
      <c r="W163" s="31">
        <f>IF(W162+AG163-M163&lt;=0.01,0,ROUND(W162+AG163-M163,2))</f>
        <v>0.0</v>
      </c>
      <c r="X163" s="31">
        <f>IF(X162+AH163-N163&lt;=0.01,0,ROUND(X162+AH163-N163,2))</f>
        <v>0.0</v>
      </c>
      <c r="Y163" s="31">
        <f>IF(Y162+AI163-O163&lt;=0.01,0,ROUND(Y162+AI163-O163,2))</f>
        <v>0.0</v>
      </c>
      <c r="Z163" s="31">
        <f>IF(Z162+AJ163-P163&lt;=0.01,0,ROUND(Z162+AJ163-P163,2))</f>
        <v>0.0</v>
      </c>
      <c r="AA163" s="31">
        <f>IF(AA162+AK163-Q163&lt;=0.01,0,ROUND(AA162+AK163-Q163,2))</f>
        <v>0.0</v>
      </c>
      <c r="AB163" s="31">
        <f>ROUND(R162*AB$5/1200,2)</f>
        <v>0.0</v>
      </c>
      <c r="AC163" s="31">
        <f>ROUND(S162*AC$5/1200,2)</f>
        <v>0.0</v>
      </c>
      <c r="AD163" s="31">
        <f>ROUND(T162*AD$5/1200,2)</f>
        <v>0.0</v>
      </c>
      <c r="AE163" s="31">
        <f>ROUND(U162*AE$5/1200,2)</f>
        <v>0.0</v>
      </c>
      <c r="AF163" s="31">
        <f>ROUND(V162*AF$5/1200,2)</f>
        <v>0.0</v>
      </c>
      <c r="AG163" s="31">
        <f>ROUND(W162*AG$5/1200,2)</f>
        <v>0.0</v>
      </c>
      <c r="AH163" s="31">
        <f>ROUND(X162*AH$5/1200,2)</f>
        <v>0.0</v>
      </c>
      <c r="AI163" s="31">
        <f>ROUND(Y162*AI$5/1200,2)</f>
        <v>0.0</v>
      </c>
      <c r="AJ163" s="31">
        <f>ROUND(Z162*AJ$5/1200,2)</f>
        <v>0.0</v>
      </c>
      <c r="AK163" s="31">
        <f>ROUND(AA162*AK$5/1200,2)</f>
        <v>0.0</v>
      </c>
      <c r="AL163" s="31">
        <f>MIN(AL$5,R162+AB163)</f>
        <v>0.0</v>
      </c>
      <c r="AM163" s="31">
        <f>MIN(AM$5,S162+AC163)</f>
        <v>0.0</v>
      </c>
      <c r="AN163" s="31">
        <f>MIN(AN$5,T162+AD163)</f>
        <v>0.0</v>
      </c>
      <c r="AO163" s="31">
        <f>MIN(AO$5,U162+AE163)</f>
        <v>0.0</v>
      </c>
      <c r="AP163" s="31">
        <f>MIN(AP$5,V162+AF163)</f>
        <v>0.0</v>
      </c>
      <c r="AQ163" s="31">
        <f>MIN(AQ$5,W162+AG163)</f>
        <v>0.0</v>
      </c>
      <c r="AR163" s="31">
        <f>MIN(AR$5,X162+AH163)</f>
        <v>0.0</v>
      </c>
      <c r="AS163" s="31">
        <f>MIN(AS$5,Y162+AI163)</f>
        <v>0.0</v>
      </c>
      <c r="AT163" s="31">
        <f>MIN(AT$5,Z162+AJ163)</f>
        <v>0.0</v>
      </c>
      <c r="AU163" s="31">
        <f>MIN(AU$5,AA162+AK163)</f>
        <v>0.0</v>
      </c>
    </row>
    <row r="164">
      <c r="A164" s="25" t="str">
        <f>IF(F163&gt;0.005,159,"")</f>
        <v/>
      </c>
      <c r="B164" s="33" t="str">
        <f>IF(A164="","",EDATE(Долги!$D$5,158))</f>
        <v/>
      </c>
      <c r="C164" s="31">
        <f>SUM(H164:Q164)</f>
        <v>0.0</v>
      </c>
      <c r="D164" s="31">
        <f>SUM(AB164:AK164)</f>
        <v>0.0</v>
      </c>
      <c r="E164" s="31">
        <f>C164-D164</f>
        <v>0.0</v>
      </c>
      <c r="F164" s="31">
        <f>SUM(R164:AA164)</f>
        <v>0.0</v>
      </c>
      <c r="G164" s="34" t="str">
        <f>IF(OR(A164="",$F$5&lt;=0),"",REPT("█",ROUND(20*F164/$F$5,0)))</f>
        <v/>
      </c>
      <c r="H164" s="31">
        <f>AL164+MIN(R163+AB164-AL164,MAX(0,ROUND(Долги!$D$19-SUM($AL164:$AU164),2)))</f>
        <v>0.0</v>
      </c>
      <c r="I164" s="31">
        <f>AM164+MIN(S163+AC164-AM164,MAX(0,ROUND(ROUND(Долги!$D$19-SUM($AL164:$AU164),2)-(SUM($H164:H164)-SUM($AL164:AL164)),2)))</f>
        <v>0.0</v>
      </c>
      <c r="J164" s="31">
        <f>AN164+MIN(T163+AD164-AN164,MAX(0,ROUND(ROUND(Долги!$D$19-SUM($AL164:$AU164),2)-(SUM($H164:I164)-SUM($AL164:AM164)),2)))</f>
        <v>0.0</v>
      </c>
      <c r="K164" s="31">
        <f>AO164+MIN(U163+AE164-AO164,MAX(0,ROUND(ROUND(Долги!$D$19-SUM($AL164:$AU164),2)-(SUM($H164:J164)-SUM($AL164:AN164)),2)))</f>
        <v>0.0</v>
      </c>
      <c r="L164" s="31">
        <f>AP164+MIN(V163+AF164-AP164,MAX(0,ROUND(ROUND(Долги!$D$19-SUM($AL164:$AU164),2)-(SUM($H164:K164)-SUM($AL164:AO164)),2)))</f>
        <v>0.0</v>
      </c>
      <c r="M164" s="31">
        <f>AQ164+MIN(W163+AG164-AQ164,MAX(0,ROUND(ROUND(Долги!$D$19-SUM($AL164:$AU164),2)-(SUM($H164:L164)-SUM($AL164:AP164)),2)))</f>
        <v>0.0</v>
      </c>
      <c r="N164" s="31">
        <f>AR164+MIN(X163+AH164-AR164,MAX(0,ROUND(ROUND(Долги!$D$19-SUM($AL164:$AU164),2)-(SUM($H164:M164)-SUM($AL164:AQ164)),2)))</f>
        <v>0.0</v>
      </c>
      <c r="O164" s="31">
        <f>AS164+MIN(Y163+AI164-AS164,MAX(0,ROUND(ROUND(Долги!$D$19-SUM($AL164:$AU164),2)-(SUM($H164:N164)-SUM($AL164:AR164)),2)))</f>
        <v>0.0</v>
      </c>
      <c r="P164" s="31">
        <f>AT164+MIN(Z163+AJ164-AT164,MAX(0,ROUND(ROUND(Долги!$D$19-SUM($AL164:$AU164),2)-(SUM($H164:O164)-SUM($AL164:AS164)),2)))</f>
        <v>0.0</v>
      </c>
      <c r="Q164" s="31">
        <f>AU164+MIN(AA163+AK164-AU164,MAX(0,ROUND(ROUND(Долги!$D$19-SUM($AL164:$AU164),2)-(SUM($H164:P164)-SUM($AL164:AT164)),2)))</f>
        <v>0.0</v>
      </c>
      <c r="R164" s="31">
        <f>IF(R163+AB164-H164&lt;=0.01,0,ROUND(R163+AB164-H164,2))</f>
        <v>0.0</v>
      </c>
      <c r="S164" s="31">
        <f>IF(S163+AC164-I164&lt;=0.01,0,ROUND(S163+AC164-I164,2))</f>
        <v>0.0</v>
      </c>
      <c r="T164" s="31">
        <f>IF(T163+AD164-J164&lt;=0.01,0,ROUND(T163+AD164-J164,2))</f>
        <v>0.0</v>
      </c>
      <c r="U164" s="31">
        <f>IF(U163+AE164-K164&lt;=0.01,0,ROUND(U163+AE164-K164,2))</f>
        <v>0.0</v>
      </c>
      <c r="V164" s="31">
        <f>IF(V163+AF164-L164&lt;=0.01,0,ROUND(V163+AF164-L164,2))</f>
        <v>0.0</v>
      </c>
      <c r="W164" s="31">
        <f>IF(W163+AG164-M164&lt;=0.01,0,ROUND(W163+AG164-M164,2))</f>
        <v>0.0</v>
      </c>
      <c r="X164" s="31">
        <f>IF(X163+AH164-N164&lt;=0.01,0,ROUND(X163+AH164-N164,2))</f>
        <v>0.0</v>
      </c>
      <c r="Y164" s="31">
        <f>IF(Y163+AI164-O164&lt;=0.01,0,ROUND(Y163+AI164-O164,2))</f>
        <v>0.0</v>
      </c>
      <c r="Z164" s="31">
        <f>IF(Z163+AJ164-P164&lt;=0.01,0,ROUND(Z163+AJ164-P164,2))</f>
        <v>0.0</v>
      </c>
      <c r="AA164" s="31">
        <f>IF(AA163+AK164-Q164&lt;=0.01,0,ROUND(AA163+AK164-Q164,2))</f>
        <v>0.0</v>
      </c>
      <c r="AB164" s="31">
        <f>ROUND(R163*AB$5/1200,2)</f>
        <v>0.0</v>
      </c>
      <c r="AC164" s="31">
        <f>ROUND(S163*AC$5/1200,2)</f>
        <v>0.0</v>
      </c>
      <c r="AD164" s="31">
        <f>ROUND(T163*AD$5/1200,2)</f>
        <v>0.0</v>
      </c>
      <c r="AE164" s="31">
        <f>ROUND(U163*AE$5/1200,2)</f>
        <v>0.0</v>
      </c>
      <c r="AF164" s="31">
        <f>ROUND(V163*AF$5/1200,2)</f>
        <v>0.0</v>
      </c>
      <c r="AG164" s="31">
        <f>ROUND(W163*AG$5/1200,2)</f>
        <v>0.0</v>
      </c>
      <c r="AH164" s="31">
        <f>ROUND(X163*AH$5/1200,2)</f>
        <v>0.0</v>
      </c>
      <c r="AI164" s="31">
        <f>ROUND(Y163*AI$5/1200,2)</f>
        <v>0.0</v>
      </c>
      <c r="AJ164" s="31">
        <f>ROUND(Z163*AJ$5/1200,2)</f>
        <v>0.0</v>
      </c>
      <c r="AK164" s="31">
        <f>ROUND(AA163*AK$5/1200,2)</f>
        <v>0.0</v>
      </c>
      <c r="AL164" s="31">
        <f>MIN(AL$5,R163+AB164)</f>
        <v>0.0</v>
      </c>
      <c r="AM164" s="31">
        <f>MIN(AM$5,S163+AC164)</f>
        <v>0.0</v>
      </c>
      <c r="AN164" s="31">
        <f>MIN(AN$5,T163+AD164)</f>
        <v>0.0</v>
      </c>
      <c r="AO164" s="31">
        <f>MIN(AO$5,U163+AE164)</f>
        <v>0.0</v>
      </c>
      <c r="AP164" s="31">
        <f>MIN(AP$5,V163+AF164)</f>
        <v>0.0</v>
      </c>
      <c r="AQ164" s="31">
        <f>MIN(AQ$5,W163+AG164)</f>
        <v>0.0</v>
      </c>
      <c r="AR164" s="31">
        <f>MIN(AR$5,X163+AH164)</f>
        <v>0.0</v>
      </c>
      <c r="AS164" s="31">
        <f>MIN(AS$5,Y163+AI164)</f>
        <v>0.0</v>
      </c>
      <c r="AT164" s="31">
        <f>MIN(AT$5,Z163+AJ164)</f>
        <v>0.0</v>
      </c>
      <c r="AU164" s="31">
        <f>MIN(AU$5,AA163+AK164)</f>
        <v>0.0</v>
      </c>
    </row>
    <row r="165">
      <c r="A165" s="25" t="str">
        <f>IF(F164&gt;0.005,160,"")</f>
        <v/>
      </c>
      <c r="B165" s="33" t="str">
        <f>IF(A165="","",EDATE(Долги!$D$5,159))</f>
        <v/>
      </c>
      <c r="C165" s="31">
        <f>SUM(H165:Q165)</f>
        <v>0.0</v>
      </c>
      <c r="D165" s="31">
        <f>SUM(AB165:AK165)</f>
        <v>0.0</v>
      </c>
      <c r="E165" s="31">
        <f>C165-D165</f>
        <v>0.0</v>
      </c>
      <c r="F165" s="31">
        <f>SUM(R165:AA165)</f>
        <v>0.0</v>
      </c>
      <c r="G165" s="34" t="str">
        <f>IF(OR(A165="",$F$5&lt;=0),"",REPT("█",ROUND(20*F165/$F$5,0)))</f>
        <v/>
      </c>
      <c r="H165" s="31">
        <f>AL165+MIN(R164+AB165-AL165,MAX(0,ROUND(Долги!$D$19-SUM($AL165:$AU165),2)))</f>
        <v>0.0</v>
      </c>
      <c r="I165" s="31">
        <f>AM165+MIN(S164+AC165-AM165,MAX(0,ROUND(ROUND(Долги!$D$19-SUM($AL165:$AU165),2)-(SUM($H165:H165)-SUM($AL165:AL165)),2)))</f>
        <v>0.0</v>
      </c>
      <c r="J165" s="31">
        <f>AN165+MIN(T164+AD165-AN165,MAX(0,ROUND(ROUND(Долги!$D$19-SUM($AL165:$AU165),2)-(SUM($H165:I165)-SUM($AL165:AM165)),2)))</f>
        <v>0.0</v>
      </c>
      <c r="K165" s="31">
        <f>AO165+MIN(U164+AE165-AO165,MAX(0,ROUND(ROUND(Долги!$D$19-SUM($AL165:$AU165),2)-(SUM($H165:J165)-SUM($AL165:AN165)),2)))</f>
        <v>0.0</v>
      </c>
      <c r="L165" s="31">
        <f>AP165+MIN(V164+AF165-AP165,MAX(0,ROUND(ROUND(Долги!$D$19-SUM($AL165:$AU165),2)-(SUM($H165:K165)-SUM($AL165:AO165)),2)))</f>
        <v>0.0</v>
      </c>
      <c r="M165" s="31">
        <f>AQ165+MIN(W164+AG165-AQ165,MAX(0,ROUND(ROUND(Долги!$D$19-SUM($AL165:$AU165),2)-(SUM($H165:L165)-SUM($AL165:AP165)),2)))</f>
        <v>0.0</v>
      </c>
      <c r="N165" s="31">
        <f>AR165+MIN(X164+AH165-AR165,MAX(0,ROUND(ROUND(Долги!$D$19-SUM($AL165:$AU165),2)-(SUM($H165:M165)-SUM($AL165:AQ165)),2)))</f>
        <v>0.0</v>
      </c>
      <c r="O165" s="31">
        <f>AS165+MIN(Y164+AI165-AS165,MAX(0,ROUND(ROUND(Долги!$D$19-SUM($AL165:$AU165),2)-(SUM($H165:N165)-SUM($AL165:AR165)),2)))</f>
        <v>0.0</v>
      </c>
      <c r="P165" s="31">
        <f>AT165+MIN(Z164+AJ165-AT165,MAX(0,ROUND(ROUND(Долги!$D$19-SUM($AL165:$AU165),2)-(SUM($H165:O165)-SUM($AL165:AS165)),2)))</f>
        <v>0.0</v>
      </c>
      <c r="Q165" s="31">
        <f>AU165+MIN(AA164+AK165-AU165,MAX(0,ROUND(ROUND(Долги!$D$19-SUM($AL165:$AU165),2)-(SUM($H165:P165)-SUM($AL165:AT165)),2)))</f>
        <v>0.0</v>
      </c>
      <c r="R165" s="31">
        <f>IF(R164+AB165-H165&lt;=0.01,0,ROUND(R164+AB165-H165,2))</f>
        <v>0.0</v>
      </c>
      <c r="S165" s="31">
        <f>IF(S164+AC165-I165&lt;=0.01,0,ROUND(S164+AC165-I165,2))</f>
        <v>0.0</v>
      </c>
      <c r="T165" s="31">
        <f>IF(T164+AD165-J165&lt;=0.01,0,ROUND(T164+AD165-J165,2))</f>
        <v>0.0</v>
      </c>
      <c r="U165" s="31">
        <f>IF(U164+AE165-K165&lt;=0.01,0,ROUND(U164+AE165-K165,2))</f>
        <v>0.0</v>
      </c>
      <c r="V165" s="31">
        <f>IF(V164+AF165-L165&lt;=0.01,0,ROUND(V164+AF165-L165,2))</f>
        <v>0.0</v>
      </c>
      <c r="W165" s="31">
        <f>IF(W164+AG165-M165&lt;=0.01,0,ROUND(W164+AG165-M165,2))</f>
        <v>0.0</v>
      </c>
      <c r="X165" s="31">
        <f>IF(X164+AH165-N165&lt;=0.01,0,ROUND(X164+AH165-N165,2))</f>
        <v>0.0</v>
      </c>
      <c r="Y165" s="31">
        <f>IF(Y164+AI165-O165&lt;=0.01,0,ROUND(Y164+AI165-O165,2))</f>
        <v>0.0</v>
      </c>
      <c r="Z165" s="31">
        <f>IF(Z164+AJ165-P165&lt;=0.01,0,ROUND(Z164+AJ165-P165,2))</f>
        <v>0.0</v>
      </c>
      <c r="AA165" s="31">
        <f>IF(AA164+AK165-Q165&lt;=0.01,0,ROUND(AA164+AK165-Q165,2))</f>
        <v>0.0</v>
      </c>
      <c r="AB165" s="31">
        <f>ROUND(R164*AB$5/1200,2)</f>
        <v>0.0</v>
      </c>
      <c r="AC165" s="31">
        <f>ROUND(S164*AC$5/1200,2)</f>
        <v>0.0</v>
      </c>
      <c r="AD165" s="31">
        <f>ROUND(T164*AD$5/1200,2)</f>
        <v>0.0</v>
      </c>
      <c r="AE165" s="31">
        <f>ROUND(U164*AE$5/1200,2)</f>
        <v>0.0</v>
      </c>
      <c r="AF165" s="31">
        <f>ROUND(V164*AF$5/1200,2)</f>
        <v>0.0</v>
      </c>
      <c r="AG165" s="31">
        <f>ROUND(W164*AG$5/1200,2)</f>
        <v>0.0</v>
      </c>
      <c r="AH165" s="31">
        <f>ROUND(X164*AH$5/1200,2)</f>
        <v>0.0</v>
      </c>
      <c r="AI165" s="31">
        <f>ROUND(Y164*AI$5/1200,2)</f>
        <v>0.0</v>
      </c>
      <c r="AJ165" s="31">
        <f>ROUND(Z164*AJ$5/1200,2)</f>
        <v>0.0</v>
      </c>
      <c r="AK165" s="31">
        <f>ROUND(AA164*AK$5/1200,2)</f>
        <v>0.0</v>
      </c>
      <c r="AL165" s="31">
        <f>MIN(AL$5,R164+AB165)</f>
        <v>0.0</v>
      </c>
      <c r="AM165" s="31">
        <f>MIN(AM$5,S164+AC165)</f>
        <v>0.0</v>
      </c>
      <c r="AN165" s="31">
        <f>MIN(AN$5,T164+AD165)</f>
        <v>0.0</v>
      </c>
      <c r="AO165" s="31">
        <f>MIN(AO$5,U164+AE165)</f>
        <v>0.0</v>
      </c>
      <c r="AP165" s="31">
        <f>MIN(AP$5,V164+AF165)</f>
        <v>0.0</v>
      </c>
      <c r="AQ165" s="31">
        <f>MIN(AQ$5,W164+AG165)</f>
        <v>0.0</v>
      </c>
      <c r="AR165" s="31">
        <f>MIN(AR$5,X164+AH165)</f>
        <v>0.0</v>
      </c>
      <c r="AS165" s="31">
        <f>MIN(AS$5,Y164+AI165)</f>
        <v>0.0</v>
      </c>
      <c r="AT165" s="31">
        <f>MIN(AT$5,Z164+AJ165)</f>
        <v>0.0</v>
      </c>
      <c r="AU165" s="31">
        <f>MIN(AU$5,AA164+AK165)</f>
        <v>0.0</v>
      </c>
    </row>
    <row r="166">
      <c r="A166" s="25" t="str">
        <f>IF(F165&gt;0.005,161,"")</f>
        <v/>
      </c>
      <c r="B166" s="33" t="str">
        <f>IF(A166="","",EDATE(Долги!$D$5,160))</f>
        <v/>
      </c>
      <c r="C166" s="31">
        <f>SUM(H166:Q166)</f>
        <v>0.0</v>
      </c>
      <c r="D166" s="31">
        <f>SUM(AB166:AK166)</f>
        <v>0.0</v>
      </c>
      <c r="E166" s="31">
        <f>C166-D166</f>
        <v>0.0</v>
      </c>
      <c r="F166" s="31">
        <f>SUM(R166:AA166)</f>
        <v>0.0</v>
      </c>
      <c r="G166" s="34" t="str">
        <f>IF(OR(A166="",$F$5&lt;=0),"",REPT("█",ROUND(20*F166/$F$5,0)))</f>
        <v/>
      </c>
      <c r="H166" s="31">
        <f>AL166+MIN(R165+AB166-AL166,MAX(0,ROUND(Долги!$D$19-SUM($AL166:$AU166),2)))</f>
        <v>0.0</v>
      </c>
      <c r="I166" s="31">
        <f>AM166+MIN(S165+AC166-AM166,MAX(0,ROUND(ROUND(Долги!$D$19-SUM($AL166:$AU166),2)-(SUM($H166:H166)-SUM($AL166:AL166)),2)))</f>
        <v>0.0</v>
      </c>
      <c r="J166" s="31">
        <f>AN166+MIN(T165+AD166-AN166,MAX(0,ROUND(ROUND(Долги!$D$19-SUM($AL166:$AU166),2)-(SUM($H166:I166)-SUM($AL166:AM166)),2)))</f>
        <v>0.0</v>
      </c>
      <c r="K166" s="31">
        <f>AO166+MIN(U165+AE166-AO166,MAX(0,ROUND(ROUND(Долги!$D$19-SUM($AL166:$AU166),2)-(SUM($H166:J166)-SUM($AL166:AN166)),2)))</f>
        <v>0.0</v>
      </c>
      <c r="L166" s="31">
        <f>AP166+MIN(V165+AF166-AP166,MAX(0,ROUND(ROUND(Долги!$D$19-SUM($AL166:$AU166),2)-(SUM($H166:K166)-SUM($AL166:AO166)),2)))</f>
        <v>0.0</v>
      </c>
      <c r="M166" s="31">
        <f>AQ166+MIN(W165+AG166-AQ166,MAX(0,ROUND(ROUND(Долги!$D$19-SUM($AL166:$AU166),2)-(SUM($H166:L166)-SUM($AL166:AP166)),2)))</f>
        <v>0.0</v>
      </c>
      <c r="N166" s="31">
        <f>AR166+MIN(X165+AH166-AR166,MAX(0,ROUND(ROUND(Долги!$D$19-SUM($AL166:$AU166),2)-(SUM($H166:M166)-SUM($AL166:AQ166)),2)))</f>
        <v>0.0</v>
      </c>
      <c r="O166" s="31">
        <f>AS166+MIN(Y165+AI166-AS166,MAX(0,ROUND(ROUND(Долги!$D$19-SUM($AL166:$AU166),2)-(SUM($H166:N166)-SUM($AL166:AR166)),2)))</f>
        <v>0.0</v>
      </c>
      <c r="P166" s="31">
        <f>AT166+MIN(Z165+AJ166-AT166,MAX(0,ROUND(ROUND(Долги!$D$19-SUM($AL166:$AU166),2)-(SUM($H166:O166)-SUM($AL166:AS166)),2)))</f>
        <v>0.0</v>
      </c>
      <c r="Q166" s="31">
        <f>AU166+MIN(AA165+AK166-AU166,MAX(0,ROUND(ROUND(Долги!$D$19-SUM($AL166:$AU166),2)-(SUM($H166:P166)-SUM($AL166:AT166)),2)))</f>
        <v>0.0</v>
      </c>
      <c r="R166" s="31">
        <f>IF(R165+AB166-H166&lt;=0.01,0,ROUND(R165+AB166-H166,2))</f>
        <v>0.0</v>
      </c>
      <c r="S166" s="31">
        <f>IF(S165+AC166-I166&lt;=0.01,0,ROUND(S165+AC166-I166,2))</f>
        <v>0.0</v>
      </c>
      <c r="T166" s="31">
        <f>IF(T165+AD166-J166&lt;=0.01,0,ROUND(T165+AD166-J166,2))</f>
        <v>0.0</v>
      </c>
      <c r="U166" s="31">
        <f>IF(U165+AE166-K166&lt;=0.01,0,ROUND(U165+AE166-K166,2))</f>
        <v>0.0</v>
      </c>
      <c r="V166" s="31">
        <f>IF(V165+AF166-L166&lt;=0.01,0,ROUND(V165+AF166-L166,2))</f>
        <v>0.0</v>
      </c>
      <c r="W166" s="31">
        <f>IF(W165+AG166-M166&lt;=0.01,0,ROUND(W165+AG166-M166,2))</f>
        <v>0.0</v>
      </c>
      <c r="X166" s="31">
        <f>IF(X165+AH166-N166&lt;=0.01,0,ROUND(X165+AH166-N166,2))</f>
        <v>0.0</v>
      </c>
      <c r="Y166" s="31">
        <f>IF(Y165+AI166-O166&lt;=0.01,0,ROUND(Y165+AI166-O166,2))</f>
        <v>0.0</v>
      </c>
      <c r="Z166" s="31">
        <f>IF(Z165+AJ166-P166&lt;=0.01,0,ROUND(Z165+AJ166-P166,2))</f>
        <v>0.0</v>
      </c>
      <c r="AA166" s="31">
        <f>IF(AA165+AK166-Q166&lt;=0.01,0,ROUND(AA165+AK166-Q166,2))</f>
        <v>0.0</v>
      </c>
      <c r="AB166" s="31">
        <f>ROUND(R165*AB$5/1200,2)</f>
        <v>0.0</v>
      </c>
      <c r="AC166" s="31">
        <f>ROUND(S165*AC$5/1200,2)</f>
        <v>0.0</v>
      </c>
      <c r="AD166" s="31">
        <f>ROUND(T165*AD$5/1200,2)</f>
        <v>0.0</v>
      </c>
      <c r="AE166" s="31">
        <f>ROUND(U165*AE$5/1200,2)</f>
        <v>0.0</v>
      </c>
      <c r="AF166" s="31">
        <f>ROUND(V165*AF$5/1200,2)</f>
        <v>0.0</v>
      </c>
      <c r="AG166" s="31">
        <f>ROUND(W165*AG$5/1200,2)</f>
        <v>0.0</v>
      </c>
      <c r="AH166" s="31">
        <f>ROUND(X165*AH$5/1200,2)</f>
        <v>0.0</v>
      </c>
      <c r="AI166" s="31">
        <f>ROUND(Y165*AI$5/1200,2)</f>
        <v>0.0</v>
      </c>
      <c r="AJ166" s="31">
        <f>ROUND(Z165*AJ$5/1200,2)</f>
        <v>0.0</v>
      </c>
      <c r="AK166" s="31">
        <f>ROUND(AA165*AK$5/1200,2)</f>
        <v>0.0</v>
      </c>
      <c r="AL166" s="31">
        <f>MIN(AL$5,R165+AB166)</f>
        <v>0.0</v>
      </c>
      <c r="AM166" s="31">
        <f>MIN(AM$5,S165+AC166)</f>
        <v>0.0</v>
      </c>
      <c r="AN166" s="31">
        <f>MIN(AN$5,T165+AD166)</f>
        <v>0.0</v>
      </c>
      <c r="AO166" s="31">
        <f>MIN(AO$5,U165+AE166)</f>
        <v>0.0</v>
      </c>
      <c r="AP166" s="31">
        <f>MIN(AP$5,V165+AF166)</f>
        <v>0.0</v>
      </c>
      <c r="AQ166" s="31">
        <f>MIN(AQ$5,W165+AG166)</f>
        <v>0.0</v>
      </c>
      <c r="AR166" s="31">
        <f>MIN(AR$5,X165+AH166)</f>
        <v>0.0</v>
      </c>
      <c r="AS166" s="31">
        <f>MIN(AS$5,Y165+AI166)</f>
        <v>0.0</v>
      </c>
      <c r="AT166" s="31">
        <f>MIN(AT$5,Z165+AJ166)</f>
        <v>0.0</v>
      </c>
      <c r="AU166" s="31">
        <f>MIN(AU$5,AA165+AK166)</f>
        <v>0.0</v>
      </c>
    </row>
    <row r="167">
      <c r="A167" s="25" t="str">
        <f>IF(F166&gt;0.005,162,"")</f>
        <v/>
      </c>
      <c r="B167" s="33" t="str">
        <f>IF(A167="","",EDATE(Долги!$D$5,161))</f>
        <v/>
      </c>
      <c r="C167" s="31">
        <f>SUM(H167:Q167)</f>
        <v>0.0</v>
      </c>
      <c r="D167" s="31">
        <f>SUM(AB167:AK167)</f>
        <v>0.0</v>
      </c>
      <c r="E167" s="31">
        <f>C167-D167</f>
        <v>0.0</v>
      </c>
      <c r="F167" s="31">
        <f>SUM(R167:AA167)</f>
        <v>0.0</v>
      </c>
      <c r="G167" s="34" t="str">
        <f>IF(OR(A167="",$F$5&lt;=0),"",REPT("█",ROUND(20*F167/$F$5,0)))</f>
        <v/>
      </c>
      <c r="H167" s="31">
        <f>AL167+MIN(R166+AB167-AL167,MAX(0,ROUND(Долги!$D$19-SUM($AL167:$AU167),2)))</f>
        <v>0.0</v>
      </c>
      <c r="I167" s="31">
        <f>AM167+MIN(S166+AC167-AM167,MAX(0,ROUND(ROUND(Долги!$D$19-SUM($AL167:$AU167),2)-(SUM($H167:H167)-SUM($AL167:AL167)),2)))</f>
        <v>0.0</v>
      </c>
      <c r="J167" s="31">
        <f>AN167+MIN(T166+AD167-AN167,MAX(0,ROUND(ROUND(Долги!$D$19-SUM($AL167:$AU167),2)-(SUM($H167:I167)-SUM($AL167:AM167)),2)))</f>
        <v>0.0</v>
      </c>
      <c r="K167" s="31">
        <f>AO167+MIN(U166+AE167-AO167,MAX(0,ROUND(ROUND(Долги!$D$19-SUM($AL167:$AU167),2)-(SUM($H167:J167)-SUM($AL167:AN167)),2)))</f>
        <v>0.0</v>
      </c>
      <c r="L167" s="31">
        <f>AP167+MIN(V166+AF167-AP167,MAX(0,ROUND(ROUND(Долги!$D$19-SUM($AL167:$AU167),2)-(SUM($H167:K167)-SUM($AL167:AO167)),2)))</f>
        <v>0.0</v>
      </c>
      <c r="M167" s="31">
        <f>AQ167+MIN(W166+AG167-AQ167,MAX(0,ROUND(ROUND(Долги!$D$19-SUM($AL167:$AU167),2)-(SUM($H167:L167)-SUM($AL167:AP167)),2)))</f>
        <v>0.0</v>
      </c>
      <c r="N167" s="31">
        <f>AR167+MIN(X166+AH167-AR167,MAX(0,ROUND(ROUND(Долги!$D$19-SUM($AL167:$AU167),2)-(SUM($H167:M167)-SUM($AL167:AQ167)),2)))</f>
        <v>0.0</v>
      </c>
      <c r="O167" s="31">
        <f>AS167+MIN(Y166+AI167-AS167,MAX(0,ROUND(ROUND(Долги!$D$19-SUM($AL167:$AU167),2)-(SUM($H167:N167)-SUM($AL167:AR167)),2)))</f>
        <v>0.0</v>
      </c>
      <c r="P167" s="31">
        <f>AT167+MIN(Z166+AJ167-AT167,MAX(0,ROUND(ROUND(Долги!$D$19-SUM($AL167:$AU167),2)-(SUM($H167:O167)-SUM($AL167:AS167)),2)))</f>
        <v>0.0</v>
      </c>
      <c r="Q167" s="31">
        <f>AU167+MIN(AA166+AK167-AU167,MAX(0,ROUND(ROUND(Долги!$D$19-SUM($AL167:$AU167),2)-(SUM($H167:P167)-SUM($AL167:AT167)),2)))</f>
        <v>0.0</v>
      </c>
      <c r="R167" s="31">
        <f>IF(R166+AB167-H167&lt;=0.01,0,ROUND(R166+AB167-H167,2))</f>
        <v>0.0</v>
      </c>
      <c r="S167" s="31">
        <f>IF(S166+AC167-I167&lt;=0.01,0,ROUND(S166+AC167-I167,2))</f>
        <v>0.0</v>
      </c>
      <c r="T167" s="31">
        <f>IF(T166+AD167-J167&lt;=0.01,0,ROUND(T166+AD167-J167,2))</f>
        <v>0.0</v>
      </c>
      <c r="U167" s="31">
        <f>IF(U166+AE167-K167&lt;=0.01,0,ROUND(U166+AE167-K167,2))</f>
        <v>0.0</v>
      </c>
      <c r="V167" s="31">
        <f>IF(V166+AF167-L167&lt;=0.01,0,ROUND(V166+AF167-L167,2))</f>
        <v>0.0</v>
      </c>
      <c r="W167" s="31">
        <f>IF(W166+AG167-M167&lt;=0.01,0,ROUND(W166+AG167-M167,2))</f>
        <v>0.0</v>
      </c>
      <c r="X167" s="31">
        <f>IF(X166+AH167-N167&lt;=0.01,0,ROUND(X166+AH167-N167,2))</f>
        <v>0.0</v>
      </c>
      <c r="Y167" s="31">
        <f>IF(Y166+AI167-O167&lt;=0.01,0,ROUND(Y166+AI167-O167,2))</f>
        <v>0.0</v>
      </c>
      <c r="Z167" s="31">
        <f>IF(Z166+AJ167-P167&lt;=0.01,0,ROUND(Z166+AJ167-P167,2))</f>
        <v>0.0</v>
      </c>
      <c r="AA167" s="31">
        <f>IF(AA166+AK167-Q167&lt;=0.01,0,ROUND(AA166+AK167-Q167,2))</f>
        <v>0.0</v>
      </c>
      <c r="AB167" s="31">
        <f>ROUND(R166*AB$5/1200,2)</f>
        <v>0.0</v>
      </c>
      <c r="AC167" s="31">
        <f>ROUND(S166*AC$5/1200,2)</f>
        <v>0.0</v>
      </c>
      <c r="AD167" s="31">
        <f>ROUND(T166*AD$5/1200,2)</f>
        <v>0.0</v>
      </c>
      <c r="AE167" s="31">
        <f>ROUND(U166*AE$5/1200,2)</f>
        <v>0.0</v>
      </c>
      <c r="AF167" s="31">
        <f>ROUND(V166*AF$5/1200,2)</f>
        <v>0.0</v>
      </c>
      <c r="AG167" s="31">
        <f>ROUND(W166*AG$5/1200,2)</f>
        <v>0.0</v>
      </c>
      <c r="AH167" s="31">
        <f>ROUND(X166*AH$5/1200,2)</f>
        <v>0.0</v>
      </c>
      <c r="AI167" s="31">
        <f>ROUND(Y166*AI$5/1200,2)</f>
        <v>0.0</v>
      </c>
      <c r="AJ167" s="31">
        <f>ROUND(Z166*AJ$5/1200,2)</f>
        <v>0.0</v>
      </c>
      <c r="AK167" s="31">
        <f>ROUND(AA166*AK$5/1200,2)</f>
        <v>0.0</v>
      </c>
      <c r="AL167" s="31">
        <f>MIN(AL$5,R166+AB167)</f>
        <v>0.0</v>
      </c>
      <c r="AM167" s="31">
        <f>MIN(AM$5,S166+AC167)</f>
        <v>0.0</v>
      </c>
      <c r="AN167" s="31">
        <f>MIN(AN$5,T166+AD167)</f>
        <v>0.0</v>
      </c>
      <c r="AO167" s="31">
        <f>MIN(AO$5,U166+AE167)</f>
        <v>0.0</v>
      </c>
      <c r="AP167" s="31">
        <f>MIN(AP$5,V166+AF167)</f>
        <v>0.0</v>
      </c>
      <c r="AQ167" s="31">
        <f>MIN(AQ$5,W166+AG167)</f>
        <v>0.0</v>
      </c>
      <c r="AR167" s="31">
        <f>MIN(AR$5,X166+AH167)</f>
        <v>0.0</v>
      </c>
      <c r="AS167" s="31">
        <f>MIN(AS$5,Y166+AI167)</f>
        <v>0.0</v>
      </c>
      <c r="AT167" s="31">
        <f>MIN(AT$5,Z166+AJ167)</f>
        <v>0.0</v>
      </c>
      <c r="AU167" s="31">
        <f>MIN(AU$5,AA166+AK167)</f>
        <v>0.0</v>
      </c>
    </row>
    <row r="168">
      <c r="A168" s="25" t="str">
        <f>IF(F167&gt;0.005,163,"")</f>
        <v/>
      </c>
      <c r="B168" s="33" t="str">
        <f>IF(A168="","",EDATE(Долги!$D$5,162))</f>
        <v/>
      </c>
      <c r="C168" s="31">
        <f>SUM(H168:Q168)</f>
        <v>0.0</v>
      </c>
      <c r="D168" s="31">
        <f>SUM(AB168:AK168)</f>
        <v>0.0</v>
      </c>
      <c r="E168" s="31">
        <f>C168-D168</f>
        <v>0.0</v>
      </c>
      <c r="F168" s="31">
        <f>SUM(R168:AA168)</f>
        <v>0.0</v>
      </c>
      <c r="G168" s="34" t="str">
        <f>IF(OR(A168="",$F$5&lt;=0),"",REPT("█",ROUND(20*F168/$F$5,0)))</f>
        <v/>
      </c>
      <c r="H168" s="31">
        <f>AL168+MIN(R167+AB168-AL168,MAX(0,ROUND(Долги!$D$19-SUM($AL168:$AU168),2)))</f>
        <v>0.0</v>
      </c>
      <c r="I168" s="31">
        <f>AM168+MIN(S167+AC168-AM168,MAX(0,ROUND(ROUND(Долги!$D$19-SUM($AL168:$AU168),2)-(SUM($H168:H168)-SUM($AL168:AL168)),2)))</f>
        <v>0.0</v>
      </c>
      <c r="J168" s="31">
        <f>AN168+MIN(T167+AD168-AN168,MAX(0,ROUND(ROUND(Долги!$D$19-SUM($AL168:$AU168),2)-(SUM($H168:I168)-SUM($AL168:AM168)),2)))</f>
        <v>0.0</v>
      </c>
      <c r="K168" s="31">
        <f>AO168+MIN(U167+AE168-AO168,MAX(0,ROUND(ROUND(Долги!$D$19-SUM($AL168:$AU168),2)-(SUM($H168:J168)-SUM($AL168:AN168)),2)))</f>
        <v>0.0</v>
      </c>
      <c r="L168" s="31">
        <f>AP168+MIN(V167+AF168-AP168,MAX(0,ROUND(ROUND(Долги!$D$19-SUM($AL168:$AU168),2)-(SUM($H168:K168)-SUM($AL168:AO168)),2)))</f>
        <v>0.0</v>
      </c>
      <c r="M168" s="31">
        <f>AQ168+MIN(W167+AG168-AQ168,MAX(0,ROUND(ROUND(Долги!$D$19-SUM($AL168:$AU168),2)-(SUM($H168:L168)-SUM($AL168:AP168)),2)))</f>
        <v>0.0</v>
      </c>
      <c r="N168" s="31">
        <f>AR168+MIN(X167+AH168-AR168,MAX(0,ROUND(ROUND(Долги!$D$19-SUM($AL168:$AU168),2)-(SUM($H168:M168)-SUM($AL168:AQ168)),2)))</f>
        <v>0.0</v>
      </c>
      <c r="O168" s="31">
        <f>AS168+MIN(Y167+AI168-AS168,MAX(0,ROUND(ROUND(Долги!$D$19-SUM($AL168:$AU168),2)-(SUM($H168:N168)-SUM($AL168:AR168)),2)))</f>
        <v>0.0</v>
      </c>
      <c r="P168" s="31">
        <f>AT168+MIN(Z167+AJ168-AT168,MAX(0,ROUND(ROUND(Долги!$D$19-SUM($AL168:$AU168),2)-(SUM($H168:O168)-SUM($AL168:AS168)),2)))</f>
        <v>0.0</v>
      </c>
      <c r="Q168" s="31">
        <f>AU168+MIN(AA167+AK168-AU168,MAX(0,ROUND(ROUND(Долги!$D$19-SUM($AL168:$AU168),2)-(SUM($H168:P168)-SUM($AL168:AT168)),2)))</f>
        <v>0.0</v>
      </c>
      <c r="R168" s="31">
        <f>IF(R167+AB168-H168&lt;=0.01,0,ROUND(R167+AB168-H168,2))</f>
        <v>0.0</v>
      </c>
      <c r="S168" s="31">
        <f>IF(S167+AC168-I168&lt;=0.01,0,ROUND(S167+AC168-I168,2))</f>
        <v>0.0</v>
      </c>
      <c r="T168" s="31">
        <f>IF(T167+AD168-J168&lt;=0.01,0,ROUND(T167+AD168-J168,2))</f>
        <v>0.0</v>
      </c>
      <c r="U168" s="31">
        <f>IF(U167+AE168-K168&lt;=0.01,0,ROUND(U167+AE168-K168,2))</f>
        <v>0.0</v>
      </c>
      <c r="V168" s="31">
        <f>IF(V167+AF168-L168&lt;=0.01,0,ROUND(V167+AF168-L168,2))</f>
        <v>0.0</v>
      </c>
      <c r="W168" s="31">
        <f>IF(W167+AG168-M168&lt;=0.01,0,ROUND(W167+AG168-M168,2))</f>
        <v>0.0</v>
      </c>
      <c r="X168" s="31">
        <f>IF(X167+AH168-N168&lt;=0.01,0,ROUND(X167+AH168-N168,2))</f>
        <v>0.0</v>
      </c>
      <c r="Y168" s="31">
        <f>IF(Y167+AI168-O168&lt;=0.01,0,ROUND(Y167+AI168-O168,2))</f>
        <v>0.0</v>
      </c>
      <c r="Z168" s="31">
        <f>IF(Z167+AJ168-P168&lt;=0.01,0,ROUND(Z167+AJ168-P168,2))</f>
        <v>0.0</v>
      </c>
      <c r="AA168" s="31">
        <f>IF(AA167+AK168-Q168&lt;=0.01,0,ROUND(AA167+AK168-Q168,2))</f>
        <v>0.0</v>
      </c>
      <c r="AB168" s="31">
        <f>ROUND(R167*AB$5/1200,2)</f>
        <v>0.0</v>
      </c>
      <c r="AC168" s="31">
        <f>ROUND(S167*AC$5/1200,2)</f>
        <v>0.0</v>
      </c>
      <c r="AD168" s="31">
        <f>ROUND(T167*AD$5/1200,2)</f>
        <v>0.0</v>
      </c>
      <c r="AE168" s="31">
        <f>ROUND(U167*AE$5/1200,2)</f>
        <v>0.0</v>
      </c>
      <c r="AF168" s="31">
        <f>ROUND(V167*AF$5/1200,2)</f>
        <v>0.0</v>
      </c>
      <c r="AG168" s="31">
        <f>ROUND(W167*AG$5/1200,2)</f>
        <v>0.0</v>
      </c>
      <c r="AH168" s="31">
        <f>ROUND(X167*AH$5/1200,2)</f>
        <v>0.0</v>
      </c>
      <c r="AI168" s="31">
        <f>ROUND(Y167*AI$5/1200,2)</f>
        <v>0.0</v>
      </c>
      <c r="AJ168" s="31">
        <f>ROUND(Z167*AJ$5/1200,2)</f>
        <v>0.0</v>
      </c>
      <c r="AK168" s="31">
        <f>ROUND(AA167*AK$5/1200,2)</f>
        <v>0.0</v>
      </c>
      <c r="AL168" s="31">
        <f>MIN(AL$5,R167+AB168)</f>
        <v>0.0</v>
      </c>
      <c r="AM168" s="31">
        <f>MIN(AM$5,S167+AC168)</f>
        <v>0.0</v>
      </c>
      <c r="AN168" s="31">
        <f>MIN(AN$5,T167+AD168)</f>
        <v>0.0</v>
      </c>
      <c r="AO168" s="31">
        <f>MIN(AO$5,U167+AE168)</f>
        <v>0.0</v>
      </c>
      <c r="AP168" s="31">
        <f>MIN(AP$5,V167+AF168)</f>
        <v>0.0</v>
      </c>
      <c r="AQ168" s="31">
        <f>MIN(AQ$5,W167+AG168)</f>
        <v>0.0</v>
      </c>
      <c r="AR168" s="31">
        <f>MIN(AR$5,X167+AH168)</f>
        <v>0.0</v>
      </c>
      <c r="AS168" s="31">
        <f>MIN(AS$5,Y167+AI168)</f>
        <v>0.0</v>
      </c>
      <c r="AT168" s="31">
        <f>MIN(AT$5,Z167+AJ168)</f>
        <v>0.0</v>
      </c>
      <c r="AU168" s="31">
        <f>MIN(AU$5,AA167+AK168)</f>
        <v>0.0</v>
      </c>
    </row>
    <row r="169">
      <c r="A169" s="25" t="str">
        <f>IF(F168&gt;0.005,164,"")</f>
        <v/>
      </c>
      <c r="B169" s="33" t="str">
        <f>IF(A169="","",EDATE(Долги!$D$5,163))</f>
        <v/>
      </c>
      <c r="C169" s="31">
        <f>SUM(H169:Q169)</f>
        <v>0.0</v>
      </c>
      <c r="D169" s="31">
        <f>SUM(AB169:AK169)</f>
        <v>0.0</v>
      </c>
      <c r="E169" s="31">
        <f>C169-D169</f>
        <v>0.0</v>
      </c>
      <c r="F169" s="31">
        <f>SUM(R169:AA169)</f>
        <v>0.0</v>
      </c>
      <c r="G169" s="34" t="str">
        <f>IF(OR(A169="",$F$5&lt;=0),"",REPT("█",ROUND(20*F169/$F$5,0)))</f>
        <v/>
      </c>
      <c r="H169" s="31">
        <f>AL169+MIN(R168+AB169-AL169,MAX(0,ROUND(Долги!$D$19-SUM($AL169:$AU169),2)))</f>
        <v>0.0</v>
      </c>
      <c r="I169" s="31">
        <f>AM169+MIN(S168+AC169-AM169,MAX(0,ROUND(ROUND(Долги!$D$19-SUM($AL169:$AU169),2)-(SUM($H169:H169)-SUM($AL169:AL169)),2)))</f>
        <v>0.0</v>
      </c>
      <c r="J169" s="31">
        <f>AN169+MIN(T168+AD169-AN169,MAX(0,ROUND(ROUND(Долги!$D$19-SUM($AL169:$AU169),2)-(SUM($H169:I169)-SUM($AL169:AM169)),2)))</f>
        <v>0.0</v>
      </c>
      <c r="K169" s="31">
        <f>AO169+MIN(U168+AE169-AO169,MAX(0,ROUND(ROUND(Долги!$D$19-SUM($AL169:$AU169),2)-(SUM($H169:J169)-SUM($AL169:AN169)),2)))</f>
        <v>0.0</v>
      </c>
      <c r="L169" s="31">
        <f>AP169+MIN(V168+AF169-AP169,MAX(0,ROUND(ROUND(Долги!$D$19-SUM($AL169:$AU169),2)-(SUM($H169:K169)-SUM($AL169:AO169)),2)))</f>
        <v>0.0</v>
      </c>
      <c r="M169" s="31">
        <f>AQ169+MIN(W168+AG169-AQ169,MAX(0,ROUND(ROUND(Долги!$D$19-SUM($AL169:$AU169),2)-(SUM($H169:L169)-SUM($AL169:AP169)),2)))</f>
        <v>0.0</v>
      </c>
      <c r="N169" s="31">
        <f>AR169+MIN(X168+AH169-AR169,MAX(0,ROUND(ROUND(Долги!$D$19-SUM($AL169:$AU169),2)-(SUM($H169:M169)-SUM($AL169:AQ169)),2)))</f>
        <v>0.0</v>
      </c>
      <c r="O169" s="31">
        <f>AS169+MIN(Y168+AI169-AS169,MAX(0,ROUND(ROUND(Долги!$D$19-SUM($AL169:$AU169),2)-(SUM($H169:N169)-SUM($AL169:AR169)),2)))</f>
        <v>0.0</v>
      </c>
      <c r="P169" s="31">
        <f>AT169+MIN(Z168+AJ169-AT169,MAX(0,ROUND(ROUND(Долги!$D$19-SUM($AL169:$AU169),2)-(SUM($H169:O169)-SUM($AL169:AS169)),2)))</f>
        <v>0.0</v>
      </c>
      <c r="Q169" s="31">
        <f>AU169+MIN(AA168+AK169-AU169,MAX(0,ROUND(ROUND(Долги!$D$19-SUM($AL169:$AU169),2)-(SUM($H169:P169)-SUM($AL169:AT169)),2)))</f>
        <v>0.0</v>
      </c>
      <c r="R169" s="31">
        <f>IF(R168+AB169-H169&lt;=0.01,0,ROUND(R168+AB169-H169,2))</f>
        <v>0.0</v>
      </c>
      <c r="S169" s="31">
        <f>IF(S168+AC169-I169&lt;=0.01,0,ROUND(S168+AC169-I169,2))</f>
        <v>0.0</v>
      </c>
      <c r="T169" s="31">
        <f>IF(T168+AD169-J169&lt;=0.01,0,ROUND(T168+AD169-J169,2))</f>
        <v>0.0</v>
      </c>
      <c r="U169" s="31">
        <f>IF(U168+AE169-K169&lt;=0.01,0,ROUND(U168+AE169-K169,2))</f>
        <v>0.0</v>
      </c>
      <c r="V169" s="31">
        <f>IF(V168+AF169-L169&lt;=0.01,0,ROUND(V168+AF169-L169,2))</f>
        <v>0.0</v>
      </c>
      <c r="W169" s="31">
        <f>IF(W168+AG169-M169&lt;=0.01,0,ROUND(W168+AG169-M169,2))</f>
        <v>0.0</v>
      </c>
      <c r="X169" s="31">
        <f>IF(X168+AH169-N169&lt;=0.01,0,ROUND(X168+AH169-N169,2))</f>
        <v>0.0</v>
      </c>
      <c r="Y169" s="31">
        <f>IF(Y168+AI169-O169&lt;=0.01,0,ROUND(Y168+AI169-O169,2))</f>
        <v>0.0</v>
      </c>
      <c r="Z169" s="31">
        <f>IF(Z168+AJ169-P169&lt;=0.01,0,ROUND(Z168+AJ169-P169,2))</f>
        <v>0.0</v>
      </c>
      <c r="AA169" s="31">
        <f>IF(AA168+AK169-Q169&lt;=0.01,0,ROUND(AA168+AK169-Q169,2))</f>
        <v>0.0</v>
      </c>
      <c r="AB169" s="31">
        <f>ROUND(R168*AB$5/1200,2)</f>
        <v>0.0</v>
      </c>
      <c r="AC169" s="31">
        <f>ROUND(S168*AC$5/1200,2)</f>
        <v>0.0</v>
      </c>
      <c r="AD169" s="31">
        <f>ROUND(T168*AD$5/1200,2)</f>
        <v>0.0</v>
      </c>
      <c r="AE169" s="31">
        <f>ROUND(U168*AE$5/1200,2)</f>
        <v>0.0</v>
      </c>
      <c r="AF169" s="31">
        <f>ROUND(V168*AF$5/1200,2)</f>
        <v>0.0</v>
      </c>
      <c r="AG169" s="31">
        <f>ROUND(W168*AG$5/1200,2)</f>
        <v>0.0</v>
      </c>
      <c r="AH169" s="31">
        <f>ROUND(X168*AH$5/1200,2)</f>
        <v>0.0</v>
      </c>
      <c r="AI169" s="31">
        <f>ROUND(Y168*AI$5/1200,2)</f>
        <v>0.0</v>
      </c>
      <c r="AJ169" s="31">
        <f>ROUND(Z168*AJ$5/1200,2)</f>
        <v>0.0</v>
      </c>
      <c r="AK169" s="31">
        <f>ROUND(AA168*AK$5/1200,2)</f>
        <v>0.0</v>
      </c>
      <c r="AL169" s="31">
        <f>MIN(AL$5,R168+AB169)</f>
        <v>0.0</v>
      </c>
      <c r="AM169" s="31">
        <f>MIN(AM$5,S168+AC169)</f>
        <v>0.0</v>
      </c>
      <c r="AN169" s="31">
        <f>MIN(AN$5,T168+AD169)</f>
        <v>0.0</v>
      </c>
      <c r="AO169" s="31">
        <f>MIN(AO$5,U168+AE169)</f>
        <v>0.0</v>
      </c>
      <c r="AP169" s="31">
        <f>MIN(AP$5,V168+AF169)</f>
        <v>0.0</v>
      </c>
      <c r="AQ169" s="31">
        <f>MIN(AQ$5,W168+AG169)</f>
        <v>0.0</v>
      </c>
      <c r="AR169" s="31">
        <f>MIN(AR$5,X168+AH169)</f>
        <v>0.0</v>
      </c>
      <c r="AS169" s="31">
        <f>MIN(AS$5,Y168+AI169)</f>
        <v>0.0</v>
      </c>
      <c r="AT169" s="31">
        <f>MIN(AT$5,Z168+AJ169)</f>
        <v>0.0</v>
      </c>
      <c r="AU169" s="31">
        <f>MIN(AU$5,AA168+AK169)</f>
        <v>0.0</v>
      </c>
    </row>
    <row r="170">
      <c r="A170" s="25" t="str">
        <f>IF(F169&gt;0.005,165,"")</f>
        <v/>
      </c>
      <c r="B170" s="33" t="str">
        <f>IF(A170="","",EDATE(Долги!$D$5,164))</f>
        <v/>
      </c>
      <c r="C170" s="31">
        <f>SUM(H170:Q170)</f>
        <v>0.0</v>
      </c>
      <c r="D170" s="31">
        <f>SUM(AB170:AK170)</f>
        <v>0.0</v>
      </c>
      <c r="E170" s="31">
        <f>C170-D170</f>
        <v>0.0</v>
      </c>
      <c r="F170" s="31">
        <f>SUM(R170:AA170)</f>
        <v>0.0</v>
      </c>
      <c r="G170" s="34" t="str">
        <f>IF(OR(A170="",$F$5&lt;=0),"",REPT("█",ROUND(20*F170/$F$5,0)))</f>
        <v/>
      </c>
      <c r="H170" s="31">
        <f>AL170+MIN(R169+AB170-AL170,MAX(0,ROUND(Долги!$D$19-SUM($AL170:$AU170),2)))</f>
        <v>0.0</v>
      </c>
      <c r="I170" s="31">
        <f>AM170+MIN(S169+AC170-AM170,MAX(0,ROUND(ROUND(Долги!$D$19-SUM($AL170:$AU170),2)-(SUM($H170:H170)-SUM($AL170:AL170)),2)))</f>
        <v>0.0</v>
      </c>
      <c r="J170" s="31">
        <f>AN170+MIN(T169+AD170-AN170,MAX(0,ROUND(ROUND(Долги!$D$19-SUM($AL170:$AU170),2)-(SUM($H170:I170)-SUM($AL170:AM170)),2)))</f>
        <v>0.0</v>
      </c>
      <c r="K170" s="31">
        <f>AO170+MIN(U169+AE170-AO170,MAX(0,ROUND(ROUND(Долги!$D$19-SUM($AL170:$AU170),2)-(SUM($H170:J170)-SUM($AL170:AN170)),2)))</f>
        <v>0.0</v>
      </c>
      <c r="L170" s="31">
        <f>AP170+MIN(V169+AF170-AP170,MAX(0,ROUND(ROUND(Долги!$D$19-SUM($AL170:$AU170),2)-(SUM($H170:K170)-SUM($AL170:AO170)),2)))</f>
        <v>0.0</v>
      </c>
      <c r="M170" s="31">
        <f>AQ170+MIN(W169+AG170-AQ170,MAX(0,ROUND(ROUND(Долги!$D$19-SUM($AL170:$AU170),2)-(SUM($H170:L170)-SUM($AL170:AP170)),2)))</f>
        <v>0.0</v>
      </c>
      <c r="N170" s="31">
        <f>AR170+MIN(X169+AH170-AR170,MAX(0,ROUND(ROUND(Долги!$D$19-SUM($AL170:$AU170),2)-(SUM($H170:M170)-SUM($AL170:AQ170)),2)))</f>
        <v>0.0</v>
      </c>
      <c r="O170" s="31">
        <f>AS170+MIN(Y169+AI170-AS170,MAX(0,ROUND(ROUND(Долги!$D$19-SUM($AL170:$AU170),2)-(SUM($H170:N170)-SUM($AL170:AR170)),2)))</f>
        <v>0.0</v>
      </c>
      <c r="P170" s="31">
        <f>AT170+MIN(Z169+AJ170-AT170,MAX(0,ROUND(ROUND(Долги!$D$19-SUM($AL170:$AU170),2)-(SUM($H170:O170)-SUM($AL170:AS170)),2)))</f>
        <v>0.0</v>
      </c>
      <c r="Q170" s="31">
        <f>AU170+MIN(AA169+AK170-AU170,MAX(0,ROUND(ROUND(Долги!$D$19-SUM($AL170:$AU170),2)-(SUM($H170:P170)-SUM($AL170:AT170)),2)))</f>
        <v>0.0</v>
      </c>
      <c r="R170" s="31">
        <f>IF(R169+AB170-H170&lt;=0.01,0,ROUND(R169+AB170-H170,2))</f>
        <v>0.0</v>
      </c>
      <c r="S170" s="31">
        <f>IF(S169+AC170-I170&lt;=0.01,0,ROUND(S169+AC170-I170,2))</f>
        <v>0.0</v>
      </c>
      <c r="T170" s="31">
        <f>IF(T169+AD170-J170&lt;=0.01,0,ROUND(T169+AD170-J170,2))</f>
        <v>0.0</v>
      </c>
      <c r="U170" s="31">
        <f>IF(U169+AE170-K170&lt;=0.01,0,ROUND(U169+AE170-K170,2))</f>
        <v>0.0</v>
      </c>
      <c r="V170" s="31">
        <f>IF(V169+AF170-L170&lt;=0.01,0,ROUND(V169+AF170-L170,2))</f>
        <v>0.0</v>
      </c>
      <c r="W170" s="31">
        <f>IF(W169+AG170-M170&lt;=0.01,0,ROUND(W169+AG170-M170,2))</f>
        <v>0.0</v>
      </c>
      <c r="X170" s="31">
        <f>IF(X169+AH170-N170&lt;=0.01,0,ROUND(X169+AH170-N170,2))</f>
        <v>0.0</v>
      </c>
      <c r="Y170" s="31">
        <f>IF(Y169+AI170-O170&lt;=0.01,0,ROUND(Y169+AI170-O170,2))</f>
        <v>0.0</v>
      </c>
      <c r="Z170" s="31">
        <f>IF(Z169+AJ170-P170&lt;=0.01,0,ROUND(Z169+AJ170-P170,2))</f>
        <v>0.0</v>
      </c>
      <c r="AA170" s="31">
        <f>IF(AA169+AK170-Q170&lt;=0.01,0,ROUND(AA169+AK170-Q170,2))</f>
        <v>0.0</v>
      </c>
      <c r="AB170" s="31">
        <f>ROUND(R169*AB$5/1200,2)</f>
        <v>0.0</v>
      </c>
      <c r="AC170" s="31">
        <f>ROUND(S169*AC$5/1200,2)</f>
        <v>0.0</v>
      </c>
      <c r="AD170" s="31">
        <f>ROUND(T169*AD$5/1200,2)</f>
        <v>0.0</v>
      </c>
      <c r="AE170" s="31">
        <f>ROUND(U169*AE$5/1200,2)</f>
        <v>0.0</v>
      </c>
      <c r="AF170" s="31">
        <f>ROUND(V169*AF$5/1200,2)</f>
        <v>0.0</v>
      </c>
      <c r="AG170" s="31">
        <f>ROUND(W169*AG$5/1200,2)</f>
        <v>0.0</v>
      </c>
      <c r="AH170" s="31">
        <f>ROUND(X169*AH$5/1200,2)</f>
        <v>0.0</v>
      </c>
      <c r="AI170" s="31">
        <f>ROUND(Y169*AI$5/1200,2)</f>
        <v>0.0</v>
      </c>
      <c r="AJ170" s="31">
        <f>ROUND(Z169*AJ$5/1200,2)</f>
        <v>0.0</v>
      </c>
      <c r="AK170" s="31">
        <f>ROUND(AA169*AK$5/1200,2)</f>
        <v>0.0</v>
      </c>
      <c r="AL170" s="31">
        <f>MIN(AL$5,R169+AB170)</f>
        <v>0.0</v>
      </c>
      <c r="AM170" s="31">
        <f>MIN(AM$5,S169+AC170)</f>
        <v>0.0</v>
      </c>
      <c r="AN170" s="31">
        <f>MIN(AN$5,T169+AD170)</f>
        <v>0.0</v>
      </c>
      <c r="AO170" s="31">
        <f>MIN(AO$5,U169+AE170)</f>
        <v>0.0</v>
      </c>
      <c r="AP170" s="31">
        <f>MIN(AP$5,V169+AF170)</f>
        <v>0.0</v>
      </c>
      <c r="AQ170" s="31">
        <f>MIN(AQ$5,W169+AG170)</f>
        <v>0.0</v>
      </c>
      <c r="AR170" s="31">
        <f>MIN(AR$5,X169+AH170)</f>
        <v>0.0</v>
      </c>
      <c r="AS170" s="31">
        <f>MIN(AS$5,Y169+AI170)</f>
        <v>0.0</v>
      </c>
      <c r="AT170" s="31">
        <f>MIN(AT$5,Z169+AJ170)</f>
        <v>0.0</v>
      </c>
      <c r="AU170" s="31">
        <f>MIN(AU$5,AA169+AK170)</f>
        <v>0.0</v>
      </c>
    </row>
    <row r="171">
      <c r="A171" s="25" t="str">
        <f>IF(F170&gt;0.005,166,"")</f>
        <v/>
      </c>
      <c r="B171" s="33" t="str">
        <f>IF(A171="","",EDATE(Долги!$D$5,165))</f>
        <v/>
      </c>
      <c r="C171" s="31">
        <f>SUM(H171:Q171)</f>
        <v>0.0</v>
      </c>
      <c r="D171" s="31">
        <f>SUM(AB171:AK171)</f>
        <v>0.0</v>
      </c>
      <c r="E171" s="31">
        <f>C171-D171</f>
        <v>0.0</v>
      </c>
      <c r="F171" s="31">
        <f>SUM(R171:AA171)</f>
        <v>0.0</v>
      </c>
      <c r="G171" s="34" t="str">
        <f>IF(OR(A171="",$F$5&lt;=0),"",REPT("█",ROUND(20*F171/$F$5,0)))</f>
        <v/>
      </c>
      <c r="H171" s="31">
        <f>AL171+MIN(R170+AB171-AL171,MAX(0,ROUND(Долги!$D$19-SUM($AL171:$AU171),2)))</f>
        <v>0.0</v>
      </c>
      <c r="I171" s="31">
        <f>AM171+MIN(S170+AC171-AM171,MAX(0,ROUND(ROUND(Долги!$D$19-SUM($AL171:$AU171),2)-(SUM($H171:H171)-SUM($AL171:AL171)),2)))</f>
        <v>0.0</v>
      </c>
      <c r="J171" s="31">
        <f>AN171+MIN(T170+AD171-AN171,MAX(0,ROUND(ROUND(Долги!$D$19-SUM($AL171:$AU171),2)-(SUM($H171:I171)-SUM($AL171:AM171)),2)))</f>
        <v>0.0</v>
      </c>
      <c r="K171" s="31">
        <f>AO171+MIN(U170+AE171-AO171,MAX(0,ROUND(ROUND(Долги!$D$19-SUM($AL171:$AU171),2)-(SUM($H171:J171)-SUM($AL171:AN171)),2)))</f>
        <v>0.0</v>
      </c>
      <c r="L171" s="31">
        <f>AP171+MIN(V170+AF171-AP171,MAX(0,ROUND(ROUND(Долги!$D$19-SUM($AL171:$AU171),2)-(SUM($H171:K171)-SUM($AL171:AO171)),2)))</f>
        <v>0.0</v>
      </c>
      <c r="M171" s="31">
        <f>AQ171+MIN(W170+AG171-AQ171,MAX(0,ROUND(ROUND(Долги!$D$19-SUM($AL171:$AU171),2)-(SUM($H171:L171)-SUM($AL171:AP171)),2)))</f>
        <v>0.0</v>
      </c>
      <c r="N171" s="31">
        <f>AR171+MIN(X170+AH171-AR171,MAX(0,ROUND(ROUND(Долги!$D$19-SUM($AL171:$AU171),2)-(SUM($H171:M171)-SUM($AL171:AQ171)),2)))</f>
        <v>0.0</v>
      </c>
      <c r="O171" s="31">
        <f>AS171+MIN(Y170+AI171-AS171,MAX(0,ROUND(ROUND(Долги!$D$19-SUM($AL171:$AU171),2)-(SUM($H171:N171)-SUM($AL171:AR171)),2)))</f>
        <v>0.0</v>
      </c>
      <c r="P171" s="31">
        <f>AT171+MIN(Z170+AJ171-AT171,MAX(0,ROUND(ROUND(Долги!$D$19-SUM($AL171:$AU171),2)-(SUM($H171:O171)-SUM($AL171:AS171)),2)))</f>
        <v>0.0</v>
      </c>
      <c r="Q171" s="31">
        <f>AU171+MIN(AA170+AK171-AU171,MAX(0,ROUND(ROUND(Долги!$D$19-SUM($AL171:$AU171),2)-(SUM($H171:P171)-SUM($AL171:AT171)),2)))</f>
        <v>0.0</v>
      </c>
      <c r="R171" s="31">
        <f>IF(R170+AB171-H171&lt;=0.01,0,ROUND(R170+AB171-H171,2))</f>
        <v>0.0</v>
      </c>
      <c r="S171" s="31">
        <f>IF(S170+AC171-I171&lt;=0.01,0,ROUND(S170+AC171-I171,2))</f>
        <v>0.0</v>
      </c>
      <c r="T171" s="31">
        <f>IF(T170+AD171-J171&lt;=0.01,0,ROUND(T170+AD171-J171,2))</f>
        <v>0.0</v>
      </c>
      <c r="U171" s="31">
        <f>IF(U170+AE171-K171&lt;=0.01,0,ROUND(U170+AE171-K171,2))</f>
        <v>0.0</v>
      </c>
      <c r="V171" s="31">
        <f>IF(V170+AF171-L171&lt;=0.01,0,ROUND(V170+AF171-L171,2))</f>
        <v>0.0</v>
      </c>
      <c r="W171" s="31">
        <f>IF(W170+AG171-M171&lt;=0.01,0,ROUND(W170+AG171-M171,2))</f>
        <v>0.0</v>
      </c>
      <c r="X171" s="31">
        <f>IF(X170+AH171-N171&lt;=0.01,0,ROUND(X170+AH171-N171,2))</f>
        <v>0.0</v>
      </c>
      <c r="Y171" s="31">
        <f>IF(Y170+AI171-O171&lt;=0.01,0,ROUND(Y170+AI171-O171,2))</f>
        <v>0.0</v>
      </c>
      <c r="Z171" s="31">
        <f>IF(Z170+AJ171-P171&lt;=0.01,0,ROUND(Z170+AJ171-P171,2))</f>
        <v>0.0</v>
      </c>
      <c r="AA171" s="31">
        <f>IF(AA170+AK171-Q171&lt;=0.01,0,ROUND(AA170+AK171-Q171,2))</f>
        <v>0.0</v>
      </c>
      <c r="AB171" s="31">
        <f>ROUND(R170*AB$5/1200,2)</f>
        <v>0.0</v>
      </c>
      <c r="AC171" s="31">
        <f>ROUND(S170*AC$5/1200,2)</f>
        <v>0.0</v>
      </c>
      <c r="AD171" s="31">
        <f>ROUND(T170*AD$5/1200,2)</f>
        <v>0.0</v>
      </c>
      <c r="AE171" s="31">
        <f>ROUND(U170*AE$5/1200,2)</f>
        <v>0.0</v>
      </c>
      <c r="AF171" s="31">
        <f>ROUND(V170*AF$5/1200,2)</f>
        <v>0.0</v>
      </c>
      <c r="AG171" s="31">
        <f>ROUND(W170*AG$5/1200,2)</f>
        <v>0.0</v>
      </c>
      <c r="AH171" s="31">
        <f>ROUND(X170*AH$5/1200,2)</f>
        <v>0.0</v>
      </c>
      <c r="AI171" s="31">
        <f>ROUND(Y170*AI$5/1200,2)</f>
        <v>0.0</v>
      </c>
      <c r="AJ171" s="31">
        <f>ROUND(Z170*AJ$5/1200,2)</f>
        <v>0.0</v>
      </c>
      <c r="AK171" s="31">
        <f>ROUND(AA170*AK$5/1200,2)</f>
        <v>0.0</v>
      </c>
      <c r="AL171" s="31">
        <f>MIN(AL$5,R170+AB171)</f>
        <v>0.0</v>
      </c>
      <c r="AM171" s="31">
        <f>MIN(AM$5,S170+AC171)</f>
        <v>0.0</v>
      </c>
      <c r="AN171" s="31">
        <f>MIN(AN$5,T170+AD171)</f>
        <v>0.0</v>
      </c>
      <c r="AO171" s="31">
        <f>MIN(AO$5,U170+AE171)</f>
        <v>0.0</v>
      </c>
      <c r="AP171" s="31">
        <f>MIN(AP$5,V170+AF171)</f>
        <v>0.0</v>
      </c>
      <c r="AQ171" s="31">
        <f>MIN(AQ$5,W170+AG171)</f>
        <v>0.0</v>
      </c>
      <c r="AR171" s="31">
        <f>MIN(AR$5,X170+AH171)</f>
        <v>0.0</v>
      </c>
      <c r="AS171" s="31">
        <f>MIN(AS$5,Y170+AI171)</f>
        <v>0.0</v>
      </c>
      <c r="AT171" s="31">
        <f>MIN(AT$5,Z170+AJ171)</f>
        <v>0.0</v>
      </c>
      <c r="AU171" s="31">
        <f>MIN(AU$5,AA170+AK171)</f>
        <v>0.0</v>
      </c>
    </row>
    <row r="172">
      <c r="A172" s="25" t="str">
        <f>IF(F171&gt;0.005,167,"")</f>
        <v/>
      </c>
      <c r="B172" s="33" t="str">
        <f>IF(A172="","",EDATE(Долги!$D$5,166))</f>
        <v/>
      </c>
      <c r="C172" s="31">
        <f>SUM(H172:Q172)</f>
        <v>0.0</v>
      </c>
      <c r="D172" s="31">
        <f>SUM(AB172:AK172)</f>
        <v>0.0</v>
      </c>
      <c r="E172" s="31">
        <f>C172-D172</f>
        <v>0.0</v>
      </c>
      <c r="F172" s="31">
        <f>SUM(R172:AA172)</f>
        <v>0.0</v>
      </c>
      <c r="G172" s="34" t="str">
        <f>IF(OR(A172="",$F$5&lt;=0),"",REPT("█",ROUND(20*F172/$F$5,0)))</f>
        <v/>
      </c>
      <c r="H172" s="31">
        <f>AL172+MIN(R171+AB172-AL172,MAX(0,ROUND(Долги!$D$19-SUM($AL172:$AU172),2)))</f>
        <v>0.0</v>
      </c>
      <c r="I172" s="31">
        <f>AM172+MIN(S171+AC172-AM172,MAX(0,ROUND(ROUND(Долги!$D$19-SUM($AL172:$AU172),2)-(SUM($H172:H172)-SUM($AL172:AL172)),2)))</f>
        <v>0.0</v>
      </c>
      <c r="J172" s="31">
        <f>AN172+MIN(T171+AD172-AN172,MAX(0,ROUND(ROUND(Долги!$D$19-SUM($AL172:$AU172),2)-(SUM($H172:I172)-SUM($AL172:AM172)),2)))</f>
        <v>0.0</v>
      </c>
      <c r="K172" s="31">
        <f>AO172+MIN(U171+AE172-AO172,MAX(0,ROUND(ROUND(Долги!$D$19-SUM($AL172:$AU172),2)-(SUM($H172:J172)-SUM($AL172:AN172)),2)))</f>
        <v>0.0</v>
      </c>
      <c r="L172" s="31">
        <f>AP172+MIN(V171+AF172-AP172,MAX(0,ROUND(ROUND(Долги!$D$19-SUM($AL172:$AU172),2)-(SUM($H172:K172)-SUM($AL172:AO172)),2)))</f>
        <v>0.0</v>
      </c>
      <c r="M172" s="31">
        <f>AQ172+MIN(W171+AG172-AQ172,MAX(0,ROUND(ROUND(Долги!$D$19-SUM($AL172:$AU172),2)-(SUM($H172:L172)-SUM($AL172:AP172)),2)))</f>
        <v>0.0</v>
      </c>
      <c r="N172" s="31">
        <f>AR172+MIN(X171+AH172-AR172,MAX(0,ROUND(ROUND(Долги!$D$19-SUM($AL172:$AU172),2)-(SUM($H172:M172)-SUM($AL172:AQ172)),2)))</f>
        <v>0.0</v>
      </c>
      <c r="O172" s="31">
        <f>AS172+MIN(Y171+AI172-AS172,MAX(0,ROUND(ROUND(Долги!$D$19-SUM($AL172:$AU172),2)-(SUM($H172:N172)-SUM($AL172:AR172)),2)))</f>
        <v>0.0</v>
      </c>
      <c r="P172" s="31">
        <f>AT172+MIN(Z171+AJ172-AT172,MAX(0,ROUND(ROUND(Долги!$D$19-SUM($AL172:$AU172),2)-(SUM($H172:O172)-SUM($AL172:AS172)),2)))</f>
        <v>0.0</v>
      </c>
      <c r="Q172" s="31">
        <f>AU172+MIN(AA171+AK172-AU172,MAX(0,ROUND(ROUND(Долги!$D$19-SUM($AL172:$AU172),2)-(SUM($H172:P172)-SUM($AL172:AT172)),2)))</f>
        <v>0.0</v>
      </c>
      <c r="R172" s="31">
        <f>IF(R171+AB172-H172&lt;=0.01,0,ROUND(R171+AB172-H172,2))</f>
        <v>0.0</v>
      </c>
      <c r="S172" s="31">
        <f>IF(S171+AC172-I172&lt;=0.01,0,ROUND(S171+AC172-I172,2))</f>
        <v>0.0</v>
      </c>
      <c r="T172" s="31">
        <f>IF(T171+AD172-J172&lt;=0.01,0,ROUND(T171+AD172-J172,2))</f>
        <v>0.0</v>
      </c>
      <c r="U172" s="31">
        <f>IF(U171+AE172-K172&lt;=0.01,0,ROUND(U171+AE172-K172,2))</f>
        <v>0.0</v>
      </c>
      <c r="V172" s="31">
        <f>IF(V171+AF172-L172&lt;=0.01,0,ROUND(V171+AF172-L172,2))</f>
        <v>0.0</v>
      </c>
      <c r="W172" s="31">
        <f>IF(W171+AG172-M172&lt;=0.01,0,ROUND(W171+AG172-M172,2))</f>
        <v>0.0</v>
      </c>
      <c r="X172" s="31">
        <f>IF(X171+AH172-N172&lt;=0.01,0,ROUND(X171+AH172-N172,2))</f>
        <v>0.0</v>
      </c>
      <c r="Y172" s="31">
        <f>IF(Y171+AI172-O172&lt;=0.01,0,ROUND(Y171+AI172-O172,2))</f>
        <v>0.0</v>
      </c>
      <c r="Z172" s="31">
        <f>IF(Z171+AJ172-P172&lt;=0.01,0,ROUND(Z171+AJ172-P172,2))</f>
        <v>0.0</v>
      </c>
      <c r="AA172" s="31">
        <f>IF(AA171+AK172-Q172&lt;=0.01,0,ROUND(AA171+AK172-Q172,2))</f>
        <v>0.0</v>
      </c>
      <c r="AB172" s="31">
        <f>ROUND(R171*AB$5/1200,2)</f>
        <v>0.0</v>
      </c>
      <c r="AC172" s="31">
        <f>ROUND(S171*AC$5/1200,2)</f>
        <v>0.0</v>
      </c>
      <c r="AD172" s="31">
        <f>ROUND(T171*AD$5/1200,2)</f>
        <v>0.0</v>
      </c>
      <c r="AE172" s="31">
        <f>ROUND(U171*AE$5/1200,2)</f>
        <v>0.0</v>
      </c>
      <c r="AF172" s="31">
        <f>ROUND(V171*AF$5/1200,2)</f>
        <v>0.0</v>
      </c>
      <c r="AG172" s="31">
        <f>ROUND(W171*AG$5/1200,2)</f>
        <v>0.0</v>
      </c>
      <c r="AH172" s="31">
        <f>ROUND(X171*AH$5/1200,2)</f>
        <v>0.0</v>
      </c>
      <c r="AI172" s="31">
        <f>ROUND(Y171*AI$5/1200,2)</f>
        <v>0.0</v>
      </c>
      <c r="AJ172" s="31">
        <f>ROUND(Z171*AJ$5/1200,2)</f>
        <v>0.0</v>
      </c>
      <c r="AK172" s="31">
        <f>ROUND(AA171*AK$5/1200,2)</f>
        <v>0.0</v>
      </c>
      <c r="AL172" s="31">
        <f>MIN(AL$5,R171+AB172)</f>
        <v>0.0</v>
      </c>
      <c r="AM172" s="31">
        <f>MIN(AM$5,S171+AC172)</f>
        <v>0.0</v>
      </c>
      <c r="AN172" s="31">
        <f>MIN(AN$5,T171+AD172)</f>
        <v>0.0</v>
      </c>
      <c r="AO172" s="31">
        <f>MIN(AO$5,U171+AE172)</f>
        <v>0.0</v>
      </c>
      <c r="AP172" s="31">
        <f>MIN(AP$5,V171+AF172)</f>
        <v>0.0</v>
      </c>
      <c r="AQ172" s="31">
        <f>MIN(AQ$5,W171+AG172)</f>
        <v>0.0</v>
      </c>
      <c r="AR172" s="31">
        <f>MIN(AR$5,X171+AH172)</f>
        <v>0.0</v>
      </c>
      <c r="AS172" s="31">
        <f>MIN(AS$5,Y171+AI172)</f>
        <v>0.0</v>
      </c>
      <c r="AT172" s="31">
        <f>MIN(AT$5,Z171+AJ172)</f>
        <v>0.0</v>
      </c>
      <c r="AU172" s="31">
        <f>MIN(AU$5,AA171+AK172)</f>
        <v>0.0</v>
      </c>
    </row>
    <row r="173">
      <c r="A173" s="25" t="str">
        <f>IF(F172&gt;0.005,168,"")</f>
        <v/>
      </c>
      <c r="B173" s="33" t="str">
        <f>IF(A173="","",EDATE(Долги!$D$5,167))</f>
        <v/>
      </c>
      <c r="C173" s="31">
        <f>SUM(H173:Q173)</f>
        <v>0.0</v>
      </c>
      <c r="D173" s="31">
        <f>SUM(AB173:AK173)</f>
        <v>0.0</v>
      </c>
      <c r="E173" s="31">
        <f>C173-D173</f>
        <v>0.0</v>
      </c>
      <c r="F173" s="31">
        <f>SUM(R173:AA173)</f>
        <v>0.0</v>
      </c>
      <c r="G173" s="34" t="str">
        <f>IF(OR(A173="",$F$5&lt;=0),"",REPT("█",ROUND(20*F173/$F$5,0)))</f>
        <v/>
      </c>
      <c r="H173" s="31">
        <f>AL173+MIN(R172+AB173-AL173,MAX(0,ROUND(Долги!$D$19-SUM($AL173:$AU173),2)))</f>
        <v>0.0</v>
      </c>
      <c r="I173" s="31">
        <f>AM173+MIN(S172+AC173-AM173,MAX(0,ROUND(ROUND(Долги!$D$19-SUM($AL173:$AU173),2)-(SUM($H173:H173)-SUM($AL173:AL173)),2)))</f>
        <v>0.0</v>
      </c>
      <c r="J173" s="31">
        <f>AN173+MIN(T172+AD173-AN173,MAX(0,ROUND(ROUND(Долги!$D$19-SUM($AL173:$AU173),2)-(SUM($H173:I173)-SUM($AL173:AM173)),2)))</f>
        <v>0.0</v>
      </c>
      <c r="K173" s="31">
        <f>AO173+MIN(U172+AE173-AO173,MAX(0,ROUND(ROUND(Долги!$D$19-SUM($AL173:$AU173),2)-(SUM($H173:J173)-SUM($AL173:AN173)),2)))</f>
        <v>0.0</v>
      </c>
      <c r="L173" s="31">
        <f>AP173+MIN(V172+AF173-AP173,MAX(0,ROUND(ROUND(Долги!$D$19-SUM($AL173:$AU173),2)-(SUM($H173:K173)-SUM($AL173:AO173)),2)))</f>
        <v>0.0</v>
      </c>
      <c r="M173" s="31">
        <f>AQ173+MIN(W172+AG173-AQ173,MAX(0,ROUND(ROUND(Долги!$D$19-SUM($AL173:$AU173),2)-(SUM($H173:L173)-SUM($AL173:AP173)),2)))</f>
        <v>0.0</v>
      </c>
      <c r="N173" s="31">
        <f>AR173+MIN(X172+AH173-AR173,MAX(0,ROUND(ROUND(Долги!$D$19-SUM($AL173:$AU173),2)-(SUM($H173:M173)-SUM($AL173:AQ173)),2)))</f>
        <v>0.0</v>
      </c>
      <c r="O173" s="31">
        <f>AS173+MIN(Y172+AI173-AS173,MAX(0,ROUND(ROUND(Долги!$D$19-SUM($AL173:$AU173),2)-(SUM($H173:N173)-SUM($AL173:AR173)),2)))</f>
        <v>0.0</v>
      </c>
      <c r="P173" s="31">
        <f>AT173+MIN(Z172+AJ173-AT173,MAX(0,ROUND(ROUND(Долги!$D$19-SUM($AL173:$AU173),2)-(SUM($H173:O173)-SUM($AL173:AS173)),2)))</f>
        <v>0.0</v>
      </c>
      <c r="Q173" s="31">
        <f>AU173+MIN(AA172+AK173-AU173,MAX(0,ROUND(ROUND(Долги!$D$19-SUM($AL173:$AU173),2)-(SUM($H173:P173)-SUM($AL173:AT173)),2)))</f>
        <v>0.0</v>
      </c>
      <c r="R173" s="31">
        <f>IF(R172+AB173-H173&lt;=0.01,0,ROUND(R172+AB173-H173,2))</f>
        <v>0.0</v>
      </c>
      <c r="S173" s="31">
        <f>IF(S172+AC173-I173&lt;=0.01,0,ROUND(S172+AC173-I173,2))</f>
        <v>0.0</v>
      </c>
      <c r="T173" s="31">
        <f>IF(T172+AD173-J173&lt;=0.01,0,ROUND(T172+AD173-J173,2))</f>
        <v>0.0</v>
      </c>
      <c r="U173" s="31">
        <f>IF(U172+AE173-K173&lt;=0.01,0,ROUND(U172+AE173-K173,2))</f>
        <v>0.0</v>
      </c>
      <c r="V173" s="31">
        <f>IF(V172+AF173-L173&lt;=0.01,0,ROUND(V172+AF173-L173,2))</f>
        <v>0.0</v>
      </c>
      <c r="W173" s="31">
        <f>IF(W172+AG173-M173&lt;=0.01,0,ROUND(W172+AG173-M173,2))</f>
        <v>0.0</v>
      </c>
      <c r="X173" s="31">
        <f>IF(X172+AH173-N173&lt;=0.01,0,ROUND(X172+AH173-N173,2))</f>
        <v>0.0</v>
      </c>
      <c r="Y173" s="31">
        <f>IF(Y172+AI173-O173&lt;=0.01,0,ROUND(Y172+AI173-O173,2))</f>
        <v>0.0</v>
      </c>
      <c r="Z173" s="31">
        <f>IF(Z172+AJ173-P173&lt;=0.01,0,ROUND(Z172+AJ173-P173,2))</f>
        <v>0.0</v>
      </c>
      <c r="AA173" s="31">
        <f>IF(AA172+AK173-Q173&lt;=0.01,0,ROUND(AA172+AK173-Q173,2))</f>
        <v>0.0</v>
      </c>
      <c r="AB173" s="31">
        <f>ROUND(R172*AB$5/1200,2)</f>
        <v>0.0</v>
      </c>
      <c r="AC173" s="31">
        <f>ROUND(S172*AC$5/1200,2)</f>
        <v>0.0</v>
      </c>
      <c r="AD173" s="31">
        <f>ROUND(T172*AD$5/1200,2)</f>
        <v>0.0</v>
      </c>
      <c r="AE173" s="31">
        <f>ROUND(U172*AE$5/1200,2)</f>
        <v>0.0</v>
      </c>
      <c r="AF173" s="31">
        <f>ROUND(V172*AF$5/1200,2)</f>
        <v>0.0</v>
      </c>
      <c r="AG173" s="31">
        <f>ROUND(W172*AG$5/1200,2)</f>
        <v>0.0</v>
      </c>
      <c r="AH173" s="31">
        <f>ROUND(X172*AH$5/1200,2)</f>
        <v>0.0</v>
      </c>
      <c r="AI173" s="31">
        <f>ROUND(Y172*AI$5/1200,2)</f>
        <v>0.0</v>
      </c>
      <c r="AJ173" s="31">
        <f>ROUND(Z172*AJ$5/1200,2)</f>
        <v>0.0</v>
      </c>
      <c r="AK173" s="31">
        <f>ROUND(AA172*AK$5/1200,2)</f>
        <v>0.0</v>
      </c>
      <c r="AL173" s="31">
        <f>MIN(AL$5,R172+AB173)</f>
        <v>0.0</v>
      </c>
      <c r="AM173" s="31">
        <f>MIN(AM$5,S172+AC173)</f>
        <v>0.0</v>
      </c>
      <c r="AN173" s="31">
        <f>MIN(AN$5,T172+AD173)</f>
        <v>0.0</v>
      </c>
      <c r="AO173" s="31">
        <f>MIN(AO$5,U172+AE173)</f>
        <v>0.0</v>
      </c>
      <c r="AP173" s="31">
        <f>MIN(AP$5,V172+AF173)</f>
        <v>0.0</v>
      </c>
      <c r="AQ173" s="31">
        <f>MIN(AQ$5,W172+AG173)</f>
        <v>0.0</v>
      </c>
      <c r="AR173" s="31">
        <f>MIN(AR$5,X172+AH173)</f>
        <v>0.0</v>
      </c>
      <c r="AS173" s="31">
        <f>MIN(AS$5,Y172+AI173)</f>
        <v>0.0</v>
      </c>
      <c r="AT173" s="31">
        <f>MIN(AT$5,Z172+AJ173)</f>
        <v>0.0</v>
      </c>
      <c r="AU173" s="31">
        <f>MIN(AU$5,AA172+AK173)</f>
        <v>0.0</v>
      </c>
    </row>
    <row r="174">
      <c r="A174" s="25" t="str">
        <f>IF(F173&gt;0.005,169,"")</f>
        <v/>
      </c>
      <c r="B174" s="33" t="str">
        <f>IF(A174="","",EDATE(Долги!$D$5,168))</f>
        <v/>
      </c>
      <c r="C174" s="31">
        <f>SUM(H174:Q174)</f>
        <v>0.0</v>
      </c>
      <c r="D174" s="31">
        <f>SUM(AB174:AK174)</f>
        <v>0.0</v>
      </c>
      <c r="E174" s="31">
        <f>C174-D174</f>
        <v>0.0</v>
      </c>
      <c r="F174" s="31">
        <f>SUM(R174:AA174)</f>
        <v>0.0</v>
      </c>
      <c r="G174" s="34" t="str">
        <f>IF(OR(A174="",$F$5&lt;=0),"",REPT("█",ROUND(20*F174/$F$5,0)))</f>
        <v/>
      </c>
      <c r="H174" s="31">
        <f>AL174+MIN(R173+AB174-AL174,MAX(0,ROUND(Долги!$D$19-SUM($AL174:$AU174),2)))</f>
        <v>0.0</v>
      </c>
      <c r="I174" s="31">
        <f>AM174+MIN(S173+AC174-AM174,MAX(0,ROUND(ROUND(Долги!$D$19-SUM($AL174:$AU174),2)-(SUM($H174:H174)-SUM($AL174:AL174)),2)))</f>
        <v>0.0</v>
      </c>
      <c r="J174" s="31">
        <f>AN174+MIN(T173+AD174-AN174,MAX(0,ROUND(ROUND(Долги!$D$19-SUM($AL174:$AU174),2)-(SUM($H174:I174)-SUM($AL174:AM174)),2)))</f>
        <v>0.0</v>
      </c>
      <c r="K174" s="31">
        <f>AO174+MIN(U173+AE174-AO174,MAX(0,ROUND(ROUND(Долги!$D$19-SUM($AL174:$AU174),2)-(SUM($H174:J174)-SUM($AL174:AN174)),2)))</f>
        <v>0.0</v>
      </c>
      <c r="L174" s="31">
        <f>AP174+MIN(V173+AF174-AP174,MAX(0,ROUND(ROUND(Долги!$D$19-SUM($AL174:$AU174),2)-(SUM($H174:K174)-SUM($AL174:AO174)),2)))</f>
        <v>0.0</v>
      </c>
      <c r="M174" s="31">
        <f>AQ174+MIN(W173+AG174-AQ174,MAX(0,ROUND(ROUND(Долги!$D$19-SUM($AL174:$AU174),2)-(SUM($H174:L174)-SUM($AL174:AP174)),2)))</f>
        <v>0.0</v>
      </c>
      <c r="N174" s="31">
        <f>AR174+MIN(X173+AH174-AR174,MAX(0,ROUND(ROUND(Долги!$D$19-SUM($AL174:$AU174),2)-(SUM($H174:M174)-SUM($AL174:AQ174)),2)))</f>
        <v>0.0</v>
      </c>
      <c r="O174" s="31">
        <f>AS174+MIN(Y173+AI174-AS174,MAX(0,ROUND(ROUND(Долги!$D$19-SUM($AL174:$AU174),2)-(SUM($H174:N174)-SUM($AL174:AR174)),2)))</f>
        <v>0.0</v>
      </c>
      <c r="P174" s="31">
        <f>AT174+MIN(Z173+AJ174-AT174,MAX(0,ROUND(ROUND(Долги!$D$19-SUM($AL174:$AU174),2)-(SUM($H174:O174)-SUM($AL174:AS174)),2)))</f>
        <v>0.0</v>
      </c>
      <c r="Q174" s="31">
        <f>AU174+MIN(AA173+AK174-AU174,MAX(0,ROUND(ROUND(Долги!$D$19-SUM($AL174:$AU174),2)-(SUM($H174:P174)-SUM($AL174:AT174)),2)))</f>
        <v>0.0</v>
      </c>
      <c r="R174" s="31">
        <f>IF(R173+AB174-H174&lt;=0.01,0,ROUND(R173+AB174-H174,2))</f>
        <v>0.0</v>
      </c>
      <c r="S174" s="31">
        <f>IF(S173+AC174-I174&lt;=0.01,0,ROUND(S173+AC174-I174,2))</f>
        <v>0.0</v>
      </c>
      <c r="T174" s="31">
        <f>IF(T173+AD174-J174&lt;=0.01,0,ROUND(T173+AD174-J174,2))</f>
        <v>0.0</v>
      </c>
      <c r="U174" s="31">
        <f>IF(U173+AE174-K174&lt;=0.01,0,ROUND(U173+AE174-K174,2))</f>
        <v>0.0</v>
      </c>
      <c r="V174" s="31">
        <f>IF(V173+AF174-L174&lt;=0.01,0,ROUND(V173+AF174-L174,2))</f>
        <v>0.0</v>
      </c>
      <c r="W174" s="31">
        <f>IF(W173+AG174-M174&lt;=0.01,0,ROUND(W173+AG174-M174,2))</f>
        <v>0.0</v>
      </c>
      <c r="X174" s="31">
        <f>IF(X173+AH174-N174&lt;=0.01,0,ROUND(X173+AH174-N174,2))</f>
        <v>0.0</v>
      </c>
      <c r="Y174" s="31">
        <f>IF(Y173+AI174-O174&lt;=0.01,0,ROUND(Y173+AI174-O174,2))</f>
        <v>0.0</v>
      </c>
      <c r="Z174" s="31">
        <f>IF(Z173+AJ174-P174&lt;=0.01,0,ROUND(Z173+AJ174-P174,2))</f>
        <v>0.0</v>
      </c>
      <c r="AA174" s="31">
        <f>IF(AA173+AK174-Q174&lt;=0.01,0,ROUND(AA173+AK174-Q174,2))</f>
        <v>0.0</v>
      </c>
      <c r="AB174" s="31">
        <f>ROUND(R173*AB$5/1200,2)</f>
        <v>0.0</v>
      </c>
      <c r="AC174" s="31">
        <f>ROUND(S173*AC$5/1200,2)</f>
        <v>0.0</v>
      </c>
      <c r="AD174" s="31">
        <f>ROUND(T173*AD$5/1200,2)</f>
        <v>0.0</v>
      </c>
      <c r="AE174" s="31">
        <f>ROUND(U173*AE$5/1200,2)</f>
        <v>0.0</v>
      </c>
      <c r="AF174" s="31">
        <f>ROUND(V173*AF$5/1200,2)</f>
        <v>0.0</v>
      </c>
      <c r="AG174" s="31">
        <f>ROUND(W173*AG$5/1200,2)</f>
        <v>0.0</v>
      </c>
      <c r="AH174" s="31">
        <f>ROUND(X173*AH$5/1200,2)</f>
        <v>0.0</v>
      </c>
      <c r="AI174" s="31">
        <f>ROUND(Y173*AI$5/1200,2)</f>
        <v>0.0</v>
      </c>
      <c r="AJ174" s="31">
        <f>ROUND(Z173*AJ$5/1200,2)</f>
        <v>0.0</v>
      </c>
      <c r="AK174" s="31">
        <f>ROUND(AA173*AK$5/1200,2)</f>
        <v>0.0</v>
      </c>
      <c r="AL174" s="31">
        <f>MIN(AL$5,R173+AB174)</f>
        <v>0.0</v>
      </c>
      <c r="AM174" s="31">
        <f>MIN(AM$5,S173+AC174)</f>
        <v>0.0</v>
      </c>
      <c r="AN174" s="31">
        <f>MIN(AN$5,T173+AD174)</f>
        <v>0.0</v>
      </c>
      <c r="AO174" s="31">
        <f>MIN(AO$5,U173+AE174)</f>
        <v>0.0</v>
      </c>
      <c r="AP174" s="31">
        <f>MIN(AP$5,V173+AF174)</f>
        <v>0.0</v>
      </c>
      <c r="AQ174" s="31">
        <f>MIN(AQ$5,W173+AG174)</f>
        <v>0.0</v>
      </c>
      <c r="AR174" s="31">
        <f>MIN(AR$5,X173+AH174)</f>
        <v>0.0</v>
      </c>
      <c r="AS174" s="31">
        <f>MIN(AS$5,Y173+AI174)</f>
        <v>0.0</v>
      </c>
      <c r="AT174" s="31">
        <f>MIN(AT$5,Z173+AJ174)</f>
        <v>0.0</v>
      </c>
      <c r="AU174" s="31">
        <f>MIN(AU$5,AA173+AK174)</f>
        <v>0.0</v>
      </c>
    </row>
    <row r="175">
      <c r="A175" s="25" t="str">
        <f>IF(F174&gt;0.005,170,"")</f>
        <v/>
      </c>
      <c r="B175" s="33" t="str">
        <f>IF(A175="","",EDATE(Долги!$D$5,169))</f>
        <v/>
      </c>
      <c r="C175" s="31">
        <f>SUM(H175:Q175)</f>
        <v>0.0</v>
      </c>
      <c r="D175" s="31">
        <f>SUM(AB175:AK175)</f>
        <v>0.0</v>
      </c>
      <c r="E175" s="31">
        <f>C175-D175</f>
        <v>0.0</v>
      </c>
      <c r="F175" s="31">
        <f>SUM(R175:AA175)</f>
        <v>0.0</v>
      </c>
      <c r="G175" s="34" t="str">
        <f>IF(OR(A175="",$F$5&lt;=0),"",REPT("█",ROUND(20*F175/$F$5,0)))</f>
        <v/>
      </c>
      <c r="H175" s="31">
        <f>AL175+MIN(R174+AB175-AL175,MAX(0,ROUND(Долги!$D$19-SUM($AL175:$AU175),2)))</f>
        <v>0.0</v>
      </c>
      <c r="I175" s="31">
        <f>AM175+MIN(S174+AC175-AM175,MAX(0,ROUND(ROUND(Долги!$D$19-SUM($AL175:$AU175),2)-(SUM($H175:H175)-SUM($AL175:AL175)),2)))</f>
        <v>0.0</v>
      </c>
      <c r="J175" s="31">
        <f>AN175+MIN(T174+AD175-AN175,MAX(0,ROUND(ROUND(Долги!$D$19-SUM($AL175:$AU175),2)-(SUM($H175:I175)-SUM($AL175:AM175)),2)))</f>
        <v>0.0</v>
      </c>
      <c r="K175" s="31">
        <f>AO175+MIN(U174+AE175-AO175,MAX(0,ROUND(ROUND(Долги!$D$19-SUM($AL175:$AU175),2)-(SUM($H175:J175)-SUM($AL175:AN175)),2)))</f>
        <v>0.0</v>
      </c>
      <c r="L175" s="31">
        <f>AP175+MIN(V174+AF175-AP175,MAX(0,ROUND(ROUND(Долги!$D$19-SUM($AL175:$AU175),2)-(SUM($H175:K175)-SUM($AL175:AO175)),2)))</f>
        <v>0.0</v>
      </c>
      <c r="M175" s="31">
        <f>AQ175+MIN(W174+AG175-AQ175,MAX(0,ROUND(ROUND(Долги!$D$19-SUM($AL175:$AU175),2)-(SUM($H175:L175)-SUM($AL175:AP175)),2)))</f>
        <v>0.0</v>
      </c>
      <c r="N175" s="31">
        <f>AR175+MIN(X174+AH175-AR175,MAX(0,ROUND(ROUND(Долги!$D$19-SUM($AL175:$AU175),2)-(SUM($H175:M175)-SUM($AL175:AQ175)),2)))</f>
        <v>0.0</v>
      </c>
      <c r="O175" s="31">
        <f>AS175+MIN(Y174+AI175-AS175,MAX(0,ROUND(ROUND(Долги!$D$19-SUM($AL175:$AU175),2)-(SUM($H175:N175)-SUM($AL175:AR175)),2)))</f>
        <v>0.0</v>
      </c>
      <c r="P175" s="31">
        <f>AT175+MIN(Z174+AJ175-AT175,MAX(0,ROUND(ROUND(Долги!$D$19-SUM($AL175:$AU175),2)-(SUM($H175:O175)-SUM($AL175:AS175)),2)))</f>
        <v>0.0</v>
      </c>
      <c r="Q175" s="31">
        <f>AU175+MIN(AA174+AK175-AU175,MAX(0,ROUND(ROUND(Долги!$D$19-SUM($AL175:$AU175),2)-(SUM($H175:P175)-SUM($AL175:AT175)),2)))</f>
        <v>0.0</v>
      </c>
      <c r="R175" s="31">
        <f>IF(R174+AB175-H175&lt;=0.01,0,ROUND(R174+AB175-H175,2))</f>
        <v>0.0</v>
      </c>
      <c r="S175" s="31">
        <f>IF(S174+AC175-I175&lt;=0.01,0,ROUND(S174+AC175-I175,2))</f>
        <v>0.0</v>
      </c>
      <c r="T175" s="31">
        <f>IF(T174+AD175-J175&lt;=0.01,0,ROUND(T174+AD175-J175,2))</f>
        <v>0.0</v>
      </c>
      <c r="U175" s="31">
        <f>IF(U174+AE175-K175&lt;=0.01,0,ROUND(U174+AE175-K175,2))</f>
        <v>0.0</v>
      </c>
      <c r="V175" s="31">
        <f>IF(V174+AF175-L175&lt;=0.01,0,ROUND(V174+AF175-L175,2))</f>
        <v>0.0</v>
      </c>
      <c r="W175" s="31">
        <f>IF(W174+AG175-M175&lt;=0.01,0,ROUND(W174+AG175-M175,2))</f>
        <v>0.0</v>
      </c>
      <c r="X175" s="31">
        <f>IF(X174+AH175-N175&lt;=0.01,0,ROUND(X174+AH175-N175,2))</f>
        <v>0.0</v>
      </c>
      <c r="Y175" s="31">
        <f>IF(Y174+AI175-O175&lt;=0.01,0,ROUND(Y174+AI175-O175,2))</f>
        <v>0.0</v>
      </c>
      <c r="Z175" s="31">
        <f>IF(Z174+AJ175-P175&lt;=0.01,0,ROUND(Z174+AJ175-P175,2))</f>
        <v>0.0</v>
      </c>
      <c r="AA175" s="31">
        <f>IF(AA174+AK175-Q175&lt;=0.01,0,ROUND(AA174+AK175-Q175,2))</f>
        <v>0.0</v>
      </c>
      <c r="AB175" s="31">
        <f>ROUND(R174*AB$5/1200,2)</f>
        <v>0.0</v>
      </c>
      <c r="AC175" s="31">
        <f>ROUND(S174*AC$5/1200,2)</f>
        <v>0.0</v>
      </c>
      <c r="AD175" s="31">
        <f>ROUND(T174*AD$5/1200,2)</f>
        <v>0.0</v>
      </c>
      <c r="AE175" s="31">
        <f>ROUND(U174*AE$5/1200,2)</f>
        <v>0.0</v>
      </c>
      <c r="AF175" s="31">
        <f>ROUND(V174*AF$5/1200,2)</f>
        <v>0.0</v>
      </c>
      <c r="AG175" s="31">
        <f>ROUND(W174*AG$5/1200,2)</f>
        <v>0.0</v>
      </c>
      <c r="AH175" s="31">
        <f>ROUND(X174*AH$5/1200,2)</f>
        <v>0.0</v>
      </c>
      <c r="AI175" s="31">
        <f>ROUND(Y174*AI$5/1200,2)</f>
        <v>0.0</v>
      </c>
      <c r="AJ175" s="31">
        <f>ROUND(Z174*AJ$5/1200,2)</f>
        <v>0.0</v>
      </c>
      <c r="AK175" s="31">
        <f>ROUND(AA174*AK$5/1200,2)</f>
        <v>0.0</v>
      </c>
      <c r="AL175" s="31">
        <f>MIN(AL$5,R174+AB175)</f>
        <v>0.0</v>
      </c>
      <c r="AM175" s="31">
        <f>MIN(AM$5,S174+AC175)</f>
        <v>0.0</v>
      </c>
      <c r="AN175" s="31">
        <f>MIN(AN$5,T174+AD175)</f>
        <v>0.0</v>
      </c>
      <c r="AO175" s="31">
        <f>MIN(AO$5,U174+AE175)</f>
        <v>0.0</v>
      </c>
      <c r="AP175" s="31">
        <f>MIN(AP$5,V174+AF175)</f>
        <v>0.0</v>
      </c>
      <c r="AQ175" s="31">
        <f>MIN(AQ$5,W174+AG175)</f>
        <v>0.0</v>
      </c>
      <c r="AR175" s="31">
        <f>MIN(AR$5,X174+AH175)</f>
        <v>0.0</v>
      </c>
      <c r="AS175" s="31">
        <f>MIN(AS$5,Y174+AI175)</f>
        <v>0.0</v>
      </c>
      <c r="AT175" s="31">
        <f>MIN(AT$5,Z174+AJ175)</f>
        <v>0.0</v>
      </c>
      <c r="AU175" s="31">
        <f>MIN(AU$5,AA174+AK175)</f>
        <v>0.0</v>
      </c>
    </row>
    <row r="176">
      <c r="A176" s="25" t="str">
        <f>IF(F175&gt;0.005,171,"")</f>
        <v/>
      </c>
      <c r="B176" s="33" t="str">
        <f>IF(A176="","",EDATE(Долги!$D$5,170))</f>
        <v/>
      </c>
      <c r="C176" s="31">
        <f>SUM(H176:Q176)</f>
        <v>0.0</v>
      </c>
      <c r="D176" s="31">
        <f>SUM(AB176:AK176)</f>
        <v>0.0</v>
      </c>
      <c r="E176" s="31">
        <f>C176-D176</f>
        <v>0.0</v>
      </c>
      <c r="F176" s="31">
        <f>SUM(R176:AA176)</f>
        <v>0.0</v>
      </c>
      <c r="G176" s="34" t="str">
        <f>IF(OR(A176="",$F$5&lt;=0),"",REPT("█",ROUND(20*F176/$F$5,0)))</f>
        <v/>
      </c>
      <c r="H176" s="31">
        <f>AL176+MIN(R175+AB176-AL176,MAX(0,ROUND(Долги!$D$19-SUM($AL176:$AU176),2)))</f>
        <v>0.0</v>
      </c>
      <c r="I176" s="31">
        <f>AM176+MIN(S175+AC176-AM176,MAX(0,ROUND(ROUND(Долги!$D$19-SUM($AL176:$AU176),2)-(SUM($H176:H176)-SUM($AL176:AL176)),2)))</f>
        <v>0.0</v>
      </c>
      <c r="J176" s="31">
        <f>AN176+MIN(T175+AD176-AN176,MAX(0,ROUND(ROUND(Долги!$D$19-SUM($AL176:$AU176),2)-(SUM($H176:I176)-SUM($AL176:AM176)),2)))</f>
        <v>0.0</v>
      </c>
      <c r="K176" s="31">
        <f>AO176+MIN(U175+AE176-AO176,MAX(0,ROUND(ROUND(Долги!$D$19-SUM($AL176:$AU176),2)-(SUM($H176:J176)-SUM($AL176:AN176)),2)))</f>
        <v>0.0</v>
      </c>
      <c r="L176" s="31">
        <f>AP176+MIN(V175+AF176-AP176,MAX(0,ROUND(ROUND(Долги!$D$19-SUM($AL176:$AU176),2)-(SUM($H176:K176)-SUM($AL176:AO176)),2)))</f>
        <v>0.0</v>
      </c>
      <c r="M176" s="31">
        <f>AQ176+MIN(W175+AG176-AQ176,MAX(0,ROUND(ROUND(Долги!$D$19-SUM($AL176:$AU176),2)-(SUM($H176:L176)-SUM($AL176:AP176)),2)))</f>
        <v>0.0</v>
      </c>
      <c r="N176" s="31">
        <f>AR176+MIN(X175+AH176-AR176,MAX(0,ROUND(ROUND(Долги!$D$19-SUM($AL176:$AU176),2)-(SUM($H176:M176)-SUM($AL176:AQ176)),2)))</f>
        <v>0.0</v>
      </c>
      <c r="O176" s="31">
        <f>AS176+MIN(Y175+AI176-AS176,MAX(0,ROUND(ROUND(Долги!$D$19-SUM($AL176:$AU176),2)-(SUM($H176:N176)-SUM($AL176:AR176)),2)))</f>
        <v>0.0</v>
      </c>
      <c r="P176" s="31">
        <f>AT176+MIN(Z175+AJ176-AT176,MAX(0,ROUND(ROUND(Долги!$D$19-SUM($AL176:$AU176),2)-(SUM($H176:O176)-SUM($AL176:AS176)),2)))</f>
        <v>0.0</v>
      </c>
      <c r="Q176" s="31">
        <f>AU176+MIN(AA175+AK176-AU176,MAX(0,ROUND(ROUND(Долги!$D$19-SUM($AL176:$AU176),2)-(SUM($H176:P176)-SUM($AL176:AT176)),2)))</f>
        <v>0.0</v>
      </c>
      <c r="R176" s="31">
        <f>IF(R175+AB176-H176&lt;=0.01,0,ROUND(R175+AB176-H176,2))</f>
        <v>0.0</v>
      </c>
      <c r="S176" s="31">
        <f>IF(S175+AC176-I176&lt;=0.01,0,ROUND(S175+AC176-I176,2))</f>
        <v>0.0</v>
      </c>
      <c r="T176" s="31">
        <f>IF(T175+AD176-J176&lt;=0.01,0,ROUND(T175+AD176-J176,2))</f>
        <v>0.0</v>
      </c>
      <c r="U176" s="31">
        <f>IF(U175+AE176-K176&lt;=0.01,0,ROUND(U175+AE176-K176,2))</f>
        <v>0.0</v>
      </c>
      <c r="V176" s="31">
        <f>IF(V175+AF176-L176&lt;=0.01,0,ROUND(V175+AF176-L176,2))</f>
        <v>0.0</v>
      </c>
      <c r="W176" s="31">
        <f>IF(W175+AG176-M176&lt;=0.01,0,ROUND(W175+AG176-M176,2))</f>
        <v>0.0</v>
      </c>
      <c r="X176" s="31">
        <f>IF(X175+AH176-N176&lt;=0.01,0,ROUND(X175+AH176-N176,2))</f>
        <v>0.0</v>
      </c>
      <c r="Y176" s="31">
        <f>IF(Y175+AI176-O176&lt;=0.01,0,ROUND(Y175+AI176-O176,2))</f>
        <v>0.0</v>
      </c>
      <c r="Z176" s="31">
        <f>IF(Z175+AJ176-P176&lt;=0.01,0,ROUND(Z175+AJ176-P176,2))</f>
        <v>0.0</v>
      </c>
      <c r="AA176" s="31">
        <f>IF(AA175+AK176-Q176&lt;=0.01,0,ROUND(AA175+AK176-Q176,2))</f>
        <v>0.0</v>
      </c>
      <c r="AB176" s="31">
        <f>ROUND(R175*AB$5/1200,2)</f>
        <v>0.0</v>
      </c>
      <c r="AC176" s="31">
        <f>ROUND(S175*AC$5/1200,2)</f>
        <v>0.0</v>
      </c>
      <c r="AD176" s="31">
        <f>ROUND(T175*AD$5/1200,2)</f>
        <v>0.0</v>
      </c>
      <c r="AE176" s="31">
        <f>ROUND(U175*AE$5/1200,2)</f>
        <v>0.0</v>
      </c>
      <c r="AF176" s="31">
        <f>ROUND(V175*AF$5/1200,2)</f>
        <v>0.0</v>
      </c>
      <c r="AG176" s="31">
        <f>ROUND(W175*AG$5/1200,2)</f>
        <v>0.0</v>
      </c>
      <c r="AH176" s="31">
        <f>ROUND(X175*AH$5/1200,2)</f>
        <v>0.0</v>
      </c>
      <c r="AI176" s="31">
        <f>ROUND(Y175*AI$5/1200,2)</f>
        <v>0.0</v>
      </c>
      <c r="AJ176" s="31">
        <f>ROUND(Z175*AJ$5/1200,2)</f>
        <v>0.0</v>
      </c>
      <c r="AK176" s="31">
        <f>ROUND(AA175*AK$5/1200,2)</f>
        <v>0.0</v>
      </c>
      <c r="AL176" s="31">
        <f>MIN(AL$5,R175+AB176)</f>
        <v>0.0</v>
      </c>
      <c r="AM176" s="31">
        <f>MIN(AM$5,S175+AC176)</f>
        <v>0.0</v>
      </c>
      <c r="AN176" s="31">
        <f>MIN(AN$5,T175+AD176)</f>
        <v>0.0</v>
      </c>
      <c r="AO176" s="31">
        <f>MIN(AO$5,U175+AE176)</f>
        <v>0.0</v>
      </c>
      <c r="AP176" s="31">
        <f>MIN(AP$5,V175+AF176)</f>
        <v>0.0</v>
      </c>
      <c r="AQ176" s="31">
        <f>MIN(AQ$5,W175+AG176)</f>
        <v>0.0</v>
      </c>
      <c r="AR176" s="31">
        <f>MIN(AR$5,X175+AH176)</f>
        <v>0.0</v>
      </c>
      <c r="AS176" s="31">
        <f>MIN(AS$5,Y175+AI176)</f>
        <v>0.0</v>
      </c>
      <c r="AT176" s="31">
        <f>MIN(AT$5,Z175+AJ176)</f>
        <v>0.0</v>
      </c>
      <c r="AU176" s="31">
        <f>MIN(AU$5,AA175+AK176)</f>
        <v>0.0</v>
      </c>
    </row>
    <row r="177">
      <c r="A177" s="25" t="str">
        <f>IF(F176&gt;0.005,172,"")</f>
        <v/>
      </c>
      <c r="B177" s="33" t="str">
        <f>IF(A177="","",EDATE(Долги!$D$5,171))</f>
        <v/>
      </c>
      <c r="C177" s="31">
        <f>SUM(H177:Q177)</f>
        <v>0.0</v>
      </c>
      <c r="D177" s="31">
        <f>SUM(AB177:AK177)</f>
        <v>0.0</v>
      </c>
      <c r="E177" s="31">
        <f>C177-D177</f>
        <v>0.0</v>
      </c>
      <c r="F177" s="31">
        <f>SUM(R177:AA177)</f>
        <v>0.0</v>
      </c>
      <c r="G177" s="34" t="str">
        <f>IF(OR(A177="",$F$5&lt;=0),"",REPT("█",ROUND(20*F177/$F$5,0)))</f>
        <v/>
      </c>
      <c r="H177" s="31">
        <f>AL177+MIN(R176+AB177-AL177,MAX(0,ROUND(Долги!$D$19-SUM($AL177:$AU177),2)))</f>
        <v>0.0</v>
      </c>
      <c r="I177" s="31">
        <f>AM177+MIN(S176+AC177-AM177,MAX(0,ROUND(ROUND(Долги!$D$19-SUM($AL177:$AU177),2)-(SUM($H177:H177)-SUM($AL177:AL177)),2)))</f>
        <v>0.0</v>
      </c>
      <c r="J177" s="31">
        <f>AN177+MIN(T176+AD177-AN177,MAX(0,ROUND(ROUND(Долги!$D$19-SUM($AL177:$AU177),2)-(SUM($H177:I177)-SUM($AL177:AM177)),2)))</f>
        <v>0.0</v>
      </c>
      <c r="K177" s="31">
        <f>AO177+MIN(U176+AE177-AO177,MAX(0,ROUND(ROUND(Долги!$D$19-SUM($AL177:$AU177),2)-(SUM($H177:J177)-SUM($AL177:AN177)),2)))</f>
        <v>0.0</v>
      </c>
      <c r="L177" s="31">
        <f>AP177+MIN(V176+AF177-AP177,MAX(0,ROUND(ROUND(Долги!$D$19-SUM($AL177:$AU177),2)-(SUM($H177:K177)-SUM($AL177:AO177)),2)))</f>
        <v>0.0</v>
      </c>
      <c r="M177" s="31">
        <f>AQ177+MIN(W176+AG177-AQ177,MAX(0,ROUND(ROUND(Долги!$D$19-SUM($AL177:$AU177),2)-(SUM($H177:L177)-SUM($AL177:AP177)),2)))</f>
        <v>0.0</v>
      </c>
      <c r="N177" s="31">
        <f>AR177+MIN(X176+AH177-AR177,MAX(0,ROUND(ROUND(Долги!$D$19-SUM($AL177:$AU177),2)-(SUM($H177:M177)-SUM($AL177:AQ177)),2)))</f>
        <v>0.0</v>
      </c>
      <c r="O177" s="31">
        <f>AS177+MIN(Y176+AI177-AS177,MAX(0,ROUND(ROUND(Долги!$D$19-SUM($AL177:$AU177),2)-(SUM($H177:N177)-SUM($AL177:AR177)),2)))</f>
        <v>0.0</v>
      </c>
      <c r="P177" s="31">
        <f>AT177+MIN(Z176+AJ177-AT177,MAX(0,ROUND(ROUND(Долги!$D$19-SUM($AL177:$AU177),2)-(SUM($H177:O177)-SUM($AL177:AS177)),2)))</f>
        <v>0.0</v>
      </c>
      <c r="Q177" s="31">
        <f>AU177+MIN(AA176+AK177-AU177,MAX(0,ROUND(ROUND(Долги!$D$19-SUM($AL177:$AU177),2)-(SUM($H177:P177)-SUM($AL177:AT177)),2)))</f>
        <v>0.0</v>
      </c>
      <c r="R177" s="31">
        <f>IF(R176+AB177-H177&lt;=0.01,0,ROUND(R176+AB177-H177,2))</f>
        <v>0.0</v>
      </c>
      <c r="S177" s="31">
        <f>IF(S176+AC177-I177&lt;=0.01,0,ROUND(S176+AC177-I177,2))</f>
        <v>0.0</v>
      </c>
      <c r="T177" s="31">
        <f>IF(T176+AD177-J177&lt;=0.01,0,ROUND(T176+AD177-J177,2))</f>
        <v>0.0</v>
      </c>
      <c r="U177" s="31">
        <f>IF(U176+AE177-K177&lt;=0.01,0,ROUND(U176+AE177-K177,2))</f>
        <v>0.0</v>
      </c>
      <c r="V177" s="31">
        <f>IF(V176+AF177-L177&lt;=0.01,0,ROUND(V176+AF177-L177,2))</f>
        <v>0.0</v>
      </c>
      <c r="W177" s="31">
        <f>IF(W176+AG177-M177&lt;=0.01,0,ROUND(W176+AG177-M177,2))</f>
        <v>0.0</v>
      </c>
      <c r="X177" s="31">
        <f>IF(X176+AH177-N177&lt;=0.01,0,ROUND(X176+AH177-N177,2))</f>
        <v>0.0</v>
      </c>
      <c r="Y177" s="31">
        <f>IF(Y176+AI177-O177&lt;=0.01,0,ROUND(Y176+AI177-O177,2))</f>
        <v>0.0</v>
      </c>
      <c r="Z177" s="31">
        <f>IF(Z176+AJ177-P177&lt;=0.01,0,ROUND(Z176+AJ177-P177,2))</f>
        <v>0.0</v>
      </c>
      <c r="AA177" s="31">
        <f>IF(AA176+AK177-Q177&lt;=0.01,0,ROUND(AA176+AK177-Q177,2))</f>
        <v>0.0</v>
      </c>
      <c r="AB177" s="31">
        <f>ROUND(R176*AB$5/1200,2)</f>
        <v>0.0</v>
      </c>
      <c r="AC177" s="31">
        <f>ROUND(S176*AC$5/1200,2)</f>
        <v>0.0</v>
      </c>
      <c r="AD177" s="31">
        <f>ROUND(T176*AD$5/1200,2)</f>
        <v>0.0</v>
      </c>
      <c r="AE177" s="31">
        <f>ROUND(U176*AE$5/1200,2)</f>
        <v>0.0</v>
      </c>
      <c r="AF177" s="31">
        <f>ROUND(V176*AF$5/1200,2)</f>
        <v>0.0</v>
      </c>
      <c r="AG177" s="31">
        <f>ROUND(W176*AG$5/1200,2)</f>
        <v>0.0</v>
      </c>
      <c r="AH177" s="31">
        <f>ROUND(X176*AH$5/1200,2)</f>
        <v>0.0</v>
      </c>
      <c r="AI177" s="31">
        <f>ROUND(Y176*AI$5/1200,2)</f>
        <v>0.0</v>
      </c>
      <c r="AJ177" s="31">
        <f>ROUND(Z176*AJ$5/1200,2)</f>
        <v>0.0</v>
      </c>
      <c r="AK177" s="31">
        <f>ROUND(AA176*AK$5/1200,2)</f>
        <v>0.0</v>
      </c>
      <c r="AL177" s="31">
        <f>MIN(AL$5,R176+AB177)</f>
        <v>0.0</v>
      </c>
      <c r="AM177" s="31">
        <f>MIN(AM$5,S176+AC177)</f>
        <v>0.0</v>
      </c>
      <c r="AN177" s="31">
        <f>MIN(AN$5,T176+AD177)</f>
        <v>0.0</v>
      </c>
      <c r="AO177" s="31">
        <f>MIN(AO$5,U176+AE177)</f>
        <v>0.0</v>
      </c>
      <c r="AP177" s="31">
        <f>MIN(AP$5,V176+AF177)</f>
        <v>0.0</v>
      </c>
      <c r="AQ177" s="31">
        <f>MIN(AQ$5,W176+AG177)</f>
        <v>0.0</v>
      </c>
      <c r="AR177" s="31">
        <f>MIN(AR$5,X176+AH177)</f>
        <v>0.0</v>
      </c>
      <c r="AS177" s="31">
        <f>MIN(AS$5,Y176+AI177)</f>
        <v>0.0</v>
      </c>
      <c r="AT177" s="31">
        <f>MIN(AT$5,Z176+AJ177)</f>
        <v>0.0</v>
      </c>
      <c r="AU177" s="31">
        <f>MIN(AU$5,AA176+AK177)</f>
        <v>0.0</v>
      </c>
    </row>
    <row r="178">
      <c r="A178" s="25" t="str">
        <f>IF(F177&gt;0.005,173,"")</f>
        <v/>
      </c>
      <c r="B178" s="33" t="str">
        <f>IF(A178="","",EDATE(Долги!$D$5,172))</f>
        <v/>
      </c>
      <c r="C178" s="31">
        <f>SUM(H178:Q178)</f>
        <v>0.0</v>
      </c>
      <c r="D178" s="31">
        <f>SUM(AB178:AK178)</f>
        <v>0.0</v>
      </c>
      <c r="E178" s="31">
        <f>C178-D178</f>
        <v>0.0</v>
      </c>
      <c r="F178" s="31">
        <f>SUM(R178:AA178)</f>
        <v>0.0</v>
      </c>
      <c r="G178" s="34" t="str">
        <f>IF(OR(A178="",$F$5&lt;=0),"",REPT("█",ROUND(20*F178/$F$5,0)))</f>
        <v/>
      </c>
      <c r="H178" s="31">
        <f>AL178+MIN(R177+AB178-AL178,MAX(0,ROUND(Долги!$D$19-SUM($AL178:$AU178),2)))</f>
        <v>0.0</v>
      </c>
      <c r="I178" s="31">
        <f>AM178+MIN(S177+AC178-AM178,MAX(0,ROUND(ROUND(Долги!$D$19-SUM($AL178:$AU178),2)-(SUM($H178:H178)-SUM($AL178:AL178)),2)))</f>
        <v>0.0</v>
      </c>
      <c r="J178" s="31">
        <f>AN178+MIN(T177+AD178-AN178,MAX(0,ROUND(ROUND(Долги!$D$19-SUM($AL178:$AU178),2)-(SUM($H178:I178)-SUM($AL178:AM178)),2)))</f>
        <v>0.0</v>
      </c>
      <c r="K178" s="31">
        <f>AO178+MIN(U177+AE178-AO178,MAX(0,ROUND(ROUND(Долги!$D$19-SUM($AL178:$AU178),2)-(SUM($H178:J178)-SUM($AL178:AN178)),2)))</f>
        <v>0.0</v>
      </c>
      <c r="L178" s="31">
        <f>AP178+MIN(V177+AF178-AP178,MAX(0,ROUND(ROUND(Долги!$D$19-SUM($AL178:$AU178),2)-(SUM($H178:K178)-SUM($AL178:AO178)),2)))</f>
        <v>0.0</v>
      </c>
      <c r="M178" s="31">
        <f>AQ178+MIN(W177+AG178-AQ178,MAX(0,ROUND(ROUND(Долги!$D$19-SUM($AL178:$AU178),2)-(SUM($H178:L178)-SUM($AL178:AP178)),2)))</f>
        <v>0.0</v>
      </c>
      <c r="N178" s="31">
        <f>AR178+MIN(X177+AH178-AR178,MAX(0,ROUND(ROUND(Долги!$D$19-SUM($AL178:$AU178),2)-(SUM($H178:M178)-SUM($AL178:AQ178)),2)))</f>
        <v>0.0</v>
      </c>
      <c r="O178" s="31">
        <f>AS178+MIN(Y177+AI178-AS178,MAX(0,ROUND(ROUND(Долги!$D$19-SUM($AL178:$AU178),2)-(SUM($H178:N178)-SUM($AL178:AR178)),2)))</f>
        <v>0.0</v>
      </c>
      <c r="P178" s="31">
        <f>AT178+MIN(Z177+AJ178-AT178,MAX(0,ROUND(ROUND(Долги!$D$19-SUM($AL178:$AU178),2)-(SUM($H178:O178)-SUM($AL178:AS178)),2)))</f>
        <v>0.0</v>
      </c>
      <c r="Q178" s="31">
        <f>AU178+MIN(AA177+AK178-AU178,MAX(0,ROUND(ROUND(Долги!$D$19-SUM($AL178:$AU178),2)-(SUM($H178:P178)-SUM($AL178:AT178)),2)))</f>
        <v>0.0</v>
      </c>
      <c r="R178" s="31">
        <f>IF(R177+AB178-H178&lt;=0.01,0,ROUND(R177+AB178-H178,2))</f>
        <v>0.0</v>
      </c>
      <c r="S178" s="31">
        <f>IF(S177+AC178-I178&lt;=0.01,0,ROUND(S177+AC178-I178,2))</f>
        <v>0.0</v>
      </c>
      <c r="T178" s="31">
        <f>IF(T177+AD178-J178&lt;=0.01,0,ROUND(T177+AD178-J178,2))</f>
        <v>0.0</v>
      </c>
      <c r="U178" s="31">
        <f>IF(U177+AE178-K178&lt;=0.01,0,ROUND(U177+AE178-K178,2))</f>
        <v>0.0</v>
      </c>
      <c r="V178" s="31">
        <f>IF(V177+AF178-L178&lt;=0.01,0,ROUND(V177+AF178-L178,2))</f>
        <v>0.0</v>
      </c>
      <c r="W178" s="31">
        <f>IF(W177+AG178-M178&lt;=0.01,0,ROUND(W177+AG178-M178,2))</f>
        <v>0.0</v>
      </c>
      <c r="X178" s="31">
        <f>IF(X177+AH178-N178&lt;=0.01,0,ROUND(X177+AH178-N178,2))</f>
        <v>0.0</v>
      </c>
      <c r="Y178" s="31">
        <f>IF(Y177+AI178-O178&lt;=0.01,0,ROUND(Y177+AI178-O178,2))</f>
        <v>0.0</v>
      </c>
      <c r="Z178" s="31">
        <f>IF(Z177+AJ178-P178&lt;=0.01,0,ROUND(Z177+AJ178-P178,2))</f>
        <v>0.0</v>
      </c>
      <c r="AA178" s="31">
        <f>IF(AA177+AK178-Q178&lt;=0.01,0,ROUND(AA177+AK178-Q178,2))</f>
        <v>0.0</v>
      </c>
      <c r="AB178" s="31">
        <f>ROUND(R177*AB$5/1200,2)</f>
        <v>0.0</v>
      </c>
      <c r="AC178" s="31">
        <f>ROUND(S177*AC$5/1200,2)</f>
        <v>0.0</v>
      </c>
      <c r="AD178" s="31">
        <f>ROUND(T177*AD$5/1200,2)</f>
        <v>0.0</v>
      </c>
      <c r="AE178" s="31">
        <f>ROUND(U177*AE$5/1200,2)</f>
        <v>0.0</v>
      </c>
      <c r="AF178" s="31">
        <f>ROUND(V177*AF$5/1200,2)</f>
        <v>0.0</v>
      </c>
      <c r="AG178" s="31">
        <f>ROUND(W177*AG$5/1200,2)</f>
        <v>0.0</v>
      </c>
      <c r="AH178" s="31">
        <f>ROUND(X177*AH$5/1200,2)</f>
        <v>0.0</v>
      </c>
      <c r="AI178" s="31">
        <f>ROUND(Y177*AI$5/1200,2)</f>
        <v>0.0</v>
      </c>
      <c r="AJ178" s="31">
        <f>ROUND(Z177*AJ$5/1200,2)</f>
        <v>0.0</v>
      </c>
      <c r="AK178" s="31">
        <f>ROUND(AA177*AK$5/1200,2)</f>
        <v>0.0</v>
      </c>
      <c r="AL178" s="31">
        <f>MIN(AL$5,R177+AB178)</f>
        <v>0.0</v>
      </c>
      <c r="AM178" s="31">
        <f>MIN(AM$5,S177+AC178)</f>
        <v>0.0</v>
      </c>
      <c r="AN178" s="31">
        <f>MIN(AN$5,T177+AD178)</f>
        <v>0.0</v>
      </c>
      <c r="AO178" s="31">
        <f>MIN(AO$5,U177+AE178)</f>
        <v>0.0</v>
      </c>
      <c r="AP178" s="31">
        <f>MIN(AP$5,V177+AF178)</f>
        <v>0.0</v>
      </c>
      <c r="AQ178" s="31">
        <f>MIN(AQ$5,W177+AG178)</f>
        <v>0.0</v>
      </c>
      <c r="AR178" s="31">
        <f>MIN(AR$5,X177+AH178)</f>
        <v>0.0</v>
      </c>
      <c r="AS178" s="31">
        <f>MIN(AS$5,Y177+AI178)</f>
        <v>0.0</v>
      </c>
      <c r="AT178" s="31">
        <f>MIN(AT$5,Z177+AJ178)</f>
        <v>0.0</v>
      </c>
      <c r="AU178" s="31">
        <f>MIN(AU$5,AA177+AK178)</f>
        <v>0.0</v>
      </c>
    </row>
    <row r="179">
      <c r="A179" s="25" t="str">
        <f>IF(F178&gt;0.005,174,"")</f>
        <v/>
      </c>
      <c r="B179" s="33" t="str">
        <f>IF(A179="","",EDATE(Долги!$D$5,173))</f>
        <v/>
      </c>
      <c r="C179" s="31">
        <f>SUM(H179:Q179)</f>
        <v>0.0</v>
      </c>
      <c r="D179" s="31">
        <f>SUM(AB179:AK179)</f>
        <v>0.0</v>
      </c>
      <c r="E179" s="31">
        <f>C179-D179</f>
        <v>0.0</v>
      </c>
      <c r="F179" s="31">
        <f>SUM(R179:AA179)</f>
        <v>0.0</v>
      </c>
      <c r="G179" s="34" t="str">
        <f>IF(OR(A179="",$F$5&lt;=0),"",REPT("█",ROUND(20*F179/$F$5,0)))</f>
        <v/>
      </c>
      <c r="H179" s="31">
        <f>AL179+MIN(R178+AB179-AL179,MAX(0,ROUND(Долги!$D$19-SUM($AL179:$AU179),2)))</f>
        <v>0.0</v>
      </c>
      <c r="I179" s="31">
        <f>AM179+MIN(S178+AC179-AM179,MAX(0,ROUND(ROUND(Долги!$D$19-SUM($AL179:$AU179),2)-(SUM($H179:H179)-SUM($AL179:AL179)),2)))</f>
        <v>0.0</v>
      </c>
      <c r="J179" s="31">
        <f>AN179+MIN(T178+AD179-AN179,MAX(0,ROUND(ROUND(Долги!$D$19-SUM($AL179:$AU179),2)-(SUM($H179:I179)-SUM($AL179:AM179)),2)))</f>
        <v>0.0</v>
      </c>
      <c r="K179" s="31">
        <f>AO179+MIN(U178+AE179-AO179,MAX(0,ROUND(ROUND(Долги!$D$19-SUM($AL179:$AU179),2)-(SUM($H179:J179)-SUM($AL179:AN179)),2)))</f>
        <v>0.0</v>
      </c>
      <c r="L179" s="31">
        <f>AP179+MIN(V178+AF179-AP179,MAX(0,ROUND(ROUND(Долги!$D$19-SUM($AL179:$AU179),2)-(SUM($H179:K179)-SUM($AL179:AO179)),2)))</f>
        <v>0.0</v>
      </c>
      <c r="M179" s="31">
        <f>AQ179+MIN(W178+AG179-AQ179,MAX(0,ROUND(ROUND(Долги!$D$19-SUM($AL179:$AU179),2)-(SUM($H179:L179)-SUM($AL179:AP179)),2)))</f>
        <v>0.0</v>
      </c>
      <c r="N179" s="31">
        <f>AR179+MIN(X178+AH179-AR179,MAX(0,ROUND(ROUND(Долги!$D$19-SUM($AL179:$AU179),2)-(SUM($H179:M179)-SUM($AL179:AQ179)),2)))</f>
        <v>0.0</v>
      </c>
      <c r="O179" s="31">
        <f>AS179+MIN(Y178+AI179-AS179,MAX(0,ROUND(ROUND(Долги!$D$19-SUM($AL179:$AU179),2)-(SUM($H179:N179)-SUM($AL179:AR179)),2)))</f>
        <v>0.0</v>
      </c>
      <c r="P179" s="31">
        <f>AT179+MIN(Z178+AJ179-AT179,MAX(0,ROUND(ROUND(Долги!$D$19-SUM($AL179:$AU179),2)-(SUM($H179:O179)-SUM($AL179:AS179)),2)))</f>
        <v>0.0</v>
      </c>
      <c r="Q179" s="31">
        <f>AU179+MIN(AA178+AK179-AU179,MAX(0,ROUND(ROUND(Долги!$D$19-SUM($AL179:$AU179),2)-(SUM($H179:P179)-SUM($AL179:AT179)),2)))</f>
        <v>0.0</v>
      </c>
      <c r="R179" s="31">
        <f>IF(R178+AB179-H179&lt;=0.01,0,ROUND(R178+AB179-H179,2))</f>
        <v>0.0</v>
      </c>
      <c r="S179" s="31">
        <f>IF(S178+AC179-I179&lt;=0.01,0,ROUND(S178+AC179-I179,2))</f>
        <v>0.0</v>
      </c>
      <c r="T179" s="31">
        <f>IF(T178+AD179-J179&lt;=0.01,0,ROUND(T178+AD179-J179,2))</f>
        <v>0.0</v>
      </c>
      <c r="U179" s="31">
        <f>IF(U178+AE179-K179&lt;=0.01,0,ROUND(U178+AE179-K179,2))</f>
        <v>0.0</v>
      </c>
      <c r="V179" s="31">
        <f>IF(V178+AF179-L179&lt;=0.01,0,ROUND(V178+AF179-L179,2))</f>
        <v>0.0</v>
      </c>
      <c r="W179" s="31">
        <f>IF(W178+AG179-M179&lt;=0.01,0,ROUND(W178+AG179-M179,2))</f>
        <v>0.0</v>
      </c>
      <c r="X179" s="31">
        <f>IF(X178+AH179-N179&lt;=0.01,0,ROUND(X178+AH179-N179,2))</f>
        <v>0.0</v>
      </c>
      <c r="Y179" s="31">
        <f>IF(Y178+AI179-O179&lt;=0.01,0,ROUND(Y178+AI179-O179,2))</f>
        <v>0.0</v>
      </c>
      <c r="Z179" s="31">
        <f>IF(Z178+AJ179-P179&lt;=0.01,0,ROUND(Z178+AJ179-P179,2))</f>
        <v>0.0</v>
      </c>
      <c r="AA179" s="31">
        <f>IF(AA178+AK179-Q179&lt;=0.01,0,ROUND(AA178+AK179-Q179,2))</f>
        <v>0.0</v>
      </c>
      <c r="AB179" s="31">
        <f>ROUND(R178*AB$5/1200,2)</f>
        <v>0.0</v>
      </c>
      <c r="AC179" s="31">
        <f>ROUND(S178*AC$5/1200,2)</f>
        <v>0.0</v>
      </c>
      <c r="AD179" s="31">
        <f>ROUND(T178*AD$5/1200,2)</f>
        <v>0.0</v>
      </c>
      <c r="AE179" s="31">
        <f>ROUND(U178*AE$5/1200,2)</f>
        <v>0.0</v>
      </c>
      <c r="AF179" s="31">
        <f>ROUND(V178*AF$5/1200,2)</f>
        <v>0.0</v>
      </c>
      <c r="AG179" s="31">
        <f>ROUND(W178*AG$5/1200,2)</f>
        <v>0.0</v>
      </c>
      <c r="AH179" s="31">
        <f>ROUND(X178*AH$5/1200,2)</f>
        <v>0.0</v>
      </c>
      <c r="AI179" s="31">
        <f>ROUND(Y178*AI$5/1200,2)</f>
        <v>0.0</v>
      </c>
      <c r="AJ179" s="31">
        <f>ROUND(Z178*AJ$5/1200,2)</f>
        <v>0.0</v>
      </c>
      <c r="AK179" s="31">
        <f>ROUND(AA178*AK$5/1200,2)</f>
        <v>0.0</v>
      </c>
      <c r="AL179" s="31">
        <f>MIN(AL$5,R178+AB179)</f>
        <v>0.0</v>
      </c>
      <c r="AM179" s="31">
        <f>MIN(AM$5,S178+AC179)</f>
        <v>0.0</v>
      </c>
      <c r="AN179" s="31">
        <f>MIN(AN$5,T178+AD179)</f>
        <v>0.0</v>
      </c>
      <c r="AO179" s="31">
        <f>MIN(AO$5,U178+AE179)</f>
        <v>0.0</v>
      </c>
      <c r="AP179" s="31">
        <f>MIN(AP$5,V178+AF179)</f>
        <v>0.0</v>
      </c>
      <c r="AQ179" s="31">
        <f>MIN(AQ$5,W178+AG179)</f>
        <v>0.0</v>
      </c>
      <c r="AR179" s="31">
        <f>MIN(AR$5,X178+AH179)</f>
        <v>0.0</v>
      </c>
      <c r="AS179" s="31">
        <f>MIN(AS$5,Y178+AI179)</f>
        <v>0.0</v>
      </c>
      <c r="AT179" s="31">
        <f>MIN(AT$5,Z178+AJ179)</f>
        <v>0.0</v>
      </c>
      <c r="AU179" s="31">
        <f>MIN(AU$5,AA178+AK179)</f>
        <v>0.0</v>
      </c>
    </row>
    <row r="180">
      <c r="A180" s="25" t="str">
        <f>IF(F179&gt;0.005,175,"")</f>
        <v/>
      </c>
      <c r="B180" s="33" t="str">
        <f>IF(A180="","",EDATE(Долги!$D$5,174))</f>
        <v/>
      </c>
      <c r="C180" s="31">
        <f>SUM(H180:Q180)</f>
        <v>0.0</v>
      </c>
      <c r="D180" s="31">
        <f>SUM(AB180:AK180)</f>
        <v>0.0</v>
      </c>
      <c r="E180" s="31">
        <f>C180-D180</f>
        <v>0.0</v>
      </c>
      <c r="F180" s="31">
        <f>SUM(R180:AA180)</f>
        <v>0.0</v>
      </c>
      <c r="G180" s="34" t="str">
        <f>IF(OR(A180="",$F$5&lt;=0),"",REPT("█",ROUND(20*F180/$F$5,0)))</f>
        <v/>
      </c>
      <c r="H180" s="31">
        <f>AL180+MIN(R179+AB180-AL180,MAX(0,ROUND(Долги!$D$19-SUM($AL180:$AU180),2)))</f>
        <v>0.0</v>
      </c>
      <c r="I180" s="31">
        <f>AM180+MIN(S179+AC180-AM180,MAX(0,ROUND(ROUND(Долги!$D$19-SUM($AL180:$AU180),2)-(SUM($H180:H180)-SUM($AL180:AL180)),2)))</f>
        <v>0.0</v>
      </c>
      <c r="J180" s="31">
        <f>AN180+MIN(T179+AD180-AN180,MAX(0,ROUND(ROUND(Долги!$D$19-SUM($AL180:$AU180),2)-(SUM($H180:I180)-SUM($AL180:AM180)),2)))</f>
        <v>0.0</v>
      </c>
      <c r="K180" s="31">
        <f>AO180+MIN(U179+AE180-AO180,MAX(0,ROUND(ROUND(Долги!$D$19-SUM($AL180:$AU180),2)-(SUM($H180:J180)-SUM($AL180:AN180)),2)))</f>
        <v>0.0</v>
      </c>
      <c r="L180" s="31">
        <f>AP180+MIN(V179+AF180-AP180,MAX(0,ROUND(ROUND(Долги!$D$19-SUM($AL180:$AU180),2)-(SUM($H180:K180)-SUM($AL180:AO180)),2)))</f>
        <v>0.0</v>
      </c>
      <c r="M180" s="31">
        <f>AQ180+MIN(W179+AG180-AQ180,MAX(0,ROUND(ROUND(Долги!$D$19-SUM($AL180:$AU180),2)-(SUM($H180:L180)-SUM($AL180:AP180)),2)))</f>
        <v>0.0</v>
      </c>
      <c r="N180" s="31">
        <f>AR180+MIN(X179+AH180-AR180,MAX(0,ROUND(ROUND(Долги!$D$19-SUM($AL180:$AU180),2)-(SUM($H180:M180)-SUM($AL180:AQ180)),2)))</f>
        <v>0.0</v>
      </c>
      <c r="O180" s="31">
        <f>AS180+MIN(Y179+AI180-AS180,MAX(0,ROUND(ROUND(Долги!$D$19-SUM($AL180:$AU180),2)-(SUM($H180:N180)-SUM($AL180:AR180)),2)))</f>
        <v>0.0</v>
      </c>
      <c r="P180" s="31">
        <f>AT180+MIN(Z179+AJ180-AT180,MAX(0,ROUND(ROUND(Долги!$D$19-SUM($AL180:$AU180),2)-(SUM($H180:O180)-SUM($AL180:AS180)),2)))</f>
        <v>0.0</v>
      </c>
      <c r="Q180" s="31">
        <f>AU180+MIN(AA179+AK180-AU180,MAX(0,ROUND(ROUND(Долги!$D$19-SUM($AL180:$AU180),2)-(SUM($H180:P180)-SUM($AL180:AT180)),2)))</f>
        <v>0.0</v>
      </c>
      <c r="R180" s="31">
        <f>IF(R179+AB180-H180&lt;=0.01,0,ROUND(R179+AB180-H180,2))</f>
        <v>0.0</v>
      </c>
      <c r="S180" s="31">
        <f>IF(S179+AC180-I180&lt;=0.01,0,ROUND(S179+AC180-I180,2))</f>
        <v>0.0</v>
      </c>
      <c r="T180" s="31">
        <f>IF(T179+AD180-J180&lt;=0.01,0,ROUND(T179+AD180-J180,2))</f>
        <v>0.0</v>
      </c>
      <c r="U180" s="31">
        <f>IF(U179+AE180-K180&lt;=0.01,0,ROUND(U179+AE180-K180,2))</f>
        <v>0.0</v>
      </c>
      <c r="V180" s="31">
        <f>IF(V179+AF180-L180&lt;=0.01,0,ROUND(V179+AF180-L180,2))</f>
        <v>0.0</v>
      </c>
      <c r="W180" s="31">
        <f>IF(W179+AG180-M180&lt;=0.01,0,ROUND(W179+AG180-M180,2))</f>
        <v>0.0</v>
      </c>
      <c r="X180" s="31">
        <f>IF(X179+AH180-N180&lt;=0.01,0,ROUND(X179+AH180-N180,2))</f>
        <v>0.0</v>
      </c>
      <c r="Y180" s="31">
        <f>IF(Y179+AI180-O180&lt;=0.01,0,ROUND(Y179+AI180-O180,2))</f>
        <v>0.0</v>
      </c>
      <c r="Z180" s="31">
        <f>IF(Z179+AJ180-P180&lt;=0.01,0,ROUND(Z179+AJ180-P180,2))</f>
        <v>0.0</v>
      </c>
      <c r="AA180" s="31">
        <f>IF(AA179+AK180-Q180&lt;=0.01,0,ROUND(AA179+AK180-Q180,2))</f>
        <v>0.0</v>
      </c>
      <c r="AB180" s="31">
        <f>ROUND(R179*AB$5/1200,2)</f>
        <v>0.0</v>
      </c>
      <c r="AC180" s="31">
        <f>ROUND(S179*AC$5/1200,2)</f>
        <v>0.0</v>
      </c>
      <c r="AD180" s="31">
        <f>ROUND(T179*AD$5/1200,2)</f>
        <v>0.0</v>
      </c>
      <c r="AE180" s="31">
        <f>ROUND(U179*AE$5/1200,2)</f>
        <v>0.0</v>
      </c>
      <c r="AF180" s="31">
        <f>ROUND(V179*AF$5/1200,2)</f>
        <v>0.0</v>
      </c>
      <c r="AG180" s="31">
        <f>ROUND(W179*AG$5/1200,2)</f>
        <v>0.0</v>
      </c>
      <c r="AH180" s="31">
        <f>ROUND(X179*AH$5/1200,2)</f>
        <v>0.0</v>
      </c>
      <c r="AI180" s="31">
        <f>ROUND(Y179*AI$5/1200,2)</f>
        <v>0.0</v>
      </c>
      <c r="AJ180" s="31">
        <f>ROUND(Z179*AJ$5/1200,2)</f>
        <v>0.0</v>
      </c>
      <c r="AK180" s="31">
        <f>ROUND(AA179*AK$5/1200,2)</f>
        <v>0.0</v>
      </c>
      <c r="AL180" s="31">
        <f>MIN(AL$5,R179+AB180)</f>
        <v>0.0</v>
      </c>
      <c r="AM180" s="31">
        <f>MIN(AM$5,S179+AC180)</f>
        <v>0.0</v>
      </c>
      <c r="AN180" s="31">
        <f>MIN(AN$5,T179+AD180)</f>
        <v>0.0</v>
      </c>
      <c r="AO180" s="31">
        <f>MIN(AO$5,U179+AE180)</f>
        <v>0.0</v>
      </c>
      <c r="AP180" s="31">
        <f>MIN(AP$5,V179+AF180)</f>
        <v>0.0</v>
      </c>
      <c r="AQ180" s="31">
        <f>MIN(AQ$5,W179+AG180)</f>
        <v>0.0</v>
      </c>
      <c r="AR180" s="31">
        <f>MIN(AR$5,X179+AH180)</f>
        <v>0.0</v>
      </c>
      <c r="AS180" s="31">
        <f>MIN(AS$5,Y179+AI180)</f>
        <v>0.0</v>
      </c>
      <c r="AT180" s="31">
        <f>MIN(AT$5,Z179+AJ180)</f>
        <v>0.0</v>
      </c>
      <c r="AU180" s="31">
        <f>MIN(AU$5,AA179+AK180)</f>
        <v>0.0</v>
      </c>
    </row>
    <row r="181">
      <c r="A181" s="25" t="str">
        <f>IF(F180&gt;0.005,176,"")</f>
        <v/>
      </c>
      <c r="B181" s="33" t="str">
        <f>IF(A181="","",EDATE(Долги!$D$5,175))</f>
        <v/>
      </c>
      <c r="C181" s="31">
        <f>SUM(H181:Q181)</f>
        <v>0.0</v>
      </c>
      <c r="D181" s="31">
        <f>SUM(AB181:AK181)</f>
        <v>0.0</v>
      </c>
      <c r="E181" s="31">
        <f>C181-D181</f>
        <v>0.0</v>
      </c>
      <c r="F181" s="31">
        <f>SUM(R181:AA181)</f>
        <v>0.0</v>
      </c>
      <c r="G181" s="34" t="str">
        <f>IF(OR(A181="",$F$5&lt;=0),"",REPT("█",ROUND(20*F181/$F$5,0)))</f>
        <v/>
      </c>
      <c r="H181" s="31">
        <f>AL181+MIN(R180+AB181-AL181,MAX(0,ROUND(Долги!$D$19-SUM($AL181:$AU181),2)))</f>
        <v>0.0</v>
      </c>
      <c r="I181" s="31">
        <f>AM181+MIN(S180+AC181-AM181,MAX(0,ROUND(ROUND(Долги!$D$19-SUM($AL181:$AU181),2)-(SUM($H181:H181)-SUM($AL181:AL181)),2)))</f>
        <v>0.0</v>
      </c>
      <c r="J181" s="31">
        <f>AN181+MIN(T180+AD181-AN181,MAX(0,ROUND(ROUND(Долги!$D$19-SUM($AL181:$AU181),2)-(SUM($H181:I181)-SUM($AL181:AM181)),2)))</f>
        <v>0.0</v>
      </c>
      <c r="K181" s="31">
        <f>AO181+MIN(U180+AE181-AO181,MAX(0,ROUND(ROUND(Долги!$D$19-SUM($AL181:$AU181),2)-(SUM($H181:J181)-SUM($AL181:AN181)),2)))</f>
        <v>0.0</v>
      </c>
      <c r="L181" s="31">
        <f>AP181+MIN(V180+AF181-AP181,MAX(0,ROUND(ROUND(Долги!$D$19-SUM($AL181:$AU181),2)-(SUM($H181:K181)-SUM($AL181:AO181)),2)))</f>
        <v>0.0</v>
      </c>
      <c r="M181" s="31">
        <f>AQ181+MIN(W180+AG181-AQ181,MAX(0,ROUND(ROUND(Долги!$D$19-SUM($AL181:$AU181),2)-(SUM($H181:L181)-SUM($AL181:AP181)),2)))</f>
        <v>0.0</v>
      </c>
      <c r="N181" s="31">
        <f>AR181+MIN(X180+AH181-AR181,MAX(0,ROUND(ROUND(Долги!$D$19-SUM($AL181:$AU181),2)-(SUM($H181:M181)-SUM($AL181:AQ181)),2)))</f>
        <v>0.0</v>
      </c>
      <c r="O181" s="31">
        <f>AS181+MIN(Y180+AI181-AS181,MAX(0,ROUND(ROUND(Долги!$D$19-SUM($AL181:$AU181),2)-(SUM($H181:N181)-SUM($AL181:AR181)),2)))</f>
        <v>0.0</v>
      </c>
      <c r="P181" s="31">
        <f>AT181+MIN(Z180+AJ181-AT181,MAX(0,ROUND(ROUND(Долги!$D$19-SUM($AL181:$AU181),2)-(SUM($H181:O181)-SUM($AL181:AS181)),2)))</f>
        <v>0.0</v>
      </c>
      <c r="Q181" s="31">
        <f>AU181+MIN(AA180+AK181-AU181,MAX(0,ROUND(ROUND(Долги!$D$19-SUM($AL181:$AU181),2)-(SUM($H181:P181)-SUM($AL181:AT181)),2)))</f>
        <v>0.0</v>
      </c>
      <c r="R181" s="31">
        <f>IF(R180+AB181-H181&lt;=0.01,0,ROUND(R180+AB181-H181,2))</f>
        <v>0.0</v>
      </c>
      <c r="S181" s="31">
        <f>IF(S180+AC181-I181&lt;=0.01,0,ROUND(S180+AC181-I181,2))</f>
        <v>0.0</v>
      </c>
      <c r="T181" s="31">
        <f>IF(T180+AD181-J181&lt;=0.01,0,ROUND(T180+AD181-J181,2))</f>
        <v>0.0</v>
      </c>
      <c r="U181" s="31">
        <f>IF(U180+AE181-K181&lt;=0.01,0,ROUND(U180+AE181-K181,2))</f>
        <v>0.0</v>
      </c>
      <c r="V181" s="31">
        <f>IF(V180+AF181-L181&lt;=0.01,0,ROUND(V180+AF181-L181,2))</f>
        <v>0.0</v>
      </c>
      <c r="W181" s="31">
        <f>IF(W180+AG181-M181&lt;=0.01,0,ROUND(W180+AG181-M181,2))</f>
        <v>0.0</v>
      </c>
      <c r="X181" s="31">
        <f>IF(X180+AH181-N181&lt;=0.01,0,ROUND(X180+AH181-N181,2))</f>
        <v>0.0</v>
      </c>
      <c r="Y181" s="31">
        <f>IF(Y180+AI181-O181&lt;=0.01,0,ROUND(Y180+AI181-O181,2))</f>
        <v>0.0</v>
      </c>
      <c r="Z181" s="31">
        <f>IF(Z180+AJ181-P181&lt;=0.01,0,ROUND(Z180+AJ181-P181,2))</f>
        <v>0.0</v>
      </c>
      <c r="AA181" s="31">
        <f>IF(AA180+AK181-Q181&lt;=0.01,0,ROUND(AA180+AK181-Q181,2))</f>
        <v>0.0</v>
      </c>
      <c r="AB181" s="31">
        <f>ROUND(R180*AB$5/1200,2)</f>
        <v>0.0</v>
      </c>
      <c r="AC181" s="31">
        <f>ROUND(S180*AC$5/1200,2)</f>
        <v>0.0</v>
      </c>
      <c r="AD181" s="31">
        <f>ROUND(T180*AD$5/1200,2)</f>
        <v>0.0</v>
      </c>
      <c r="AE181" s="31">
        <f>ROUND(U180*AE$5/1200,2)</f>
        <v>0.0</v>
      </c>
      <c r="AF181" s="31">
        <f>ROUND(V180*AF$5/1200,2)</f>
        <v>0.0</v>
      </c>
      <c r="AG181" s="31">
        <f>ROUND(W180*AG$5/1200,2)</f>
        <v>0.0</v>
      </c>
      <c r="AH181" s="31">
        <f>ROUND(X180*AH$5/1200,2)</f>
        <v>0.0</v>
      </c>
      <c r="AI181" s="31">
        <f>ROUND(Y180*AI$5/1200,2)</f>
        <v>0.0</v>
      </c>
      <c r="AJ181" s="31">
        <f>ROUND(Z180*AJ$5/1200,2)</f>
        <v>0.0</v>
      </c>
      <c r="AK181" s="31">
        <f>ROUND(AA180*AK$5/1200,2)</f>
        <v>0.0</v>
      </c>
      <c r="AL181" s="31">
        <f>MIN(AL$5,R180+AB181)</f>
        <v>0.0</v>
      </c>
      <c r="AM181" s="31">
        <f>MIN(AM$5,S180+AC181)</f>
        <v>0.0</v>
      </c>
      <c r="AN181" s="31">
        <f>MIN(AN$5,T180+AD181)</f>
        <v>0.0</v>
      </c>
      <c r="AO181" s="31">
        <f>MIN(AO$5,U180+AE181)</f>
        <v>0.0</v>
      </c>
      <c r="AP181" s="31">
        <f>MIN(AP$5,V180+AF181)</f>
        <v>0.0</v>
      </c>
      <c r="AQ181" s="31">
        <f>MIN(AQ$5,W180+AG181)</f>
        <v>0.0</v>
      </c>
      <c r="AR181" s="31">
        <f>MIN(AR$5,X180+AH181)</f>
        <v>0.0</v>
      </c>
      <c r="AS181" s="31">
        <f>MIN(AS$5,Y180+AI181)</f>
        <v>0.0</v>
      </c>
      <c r="AT181" s="31">
        <f>MIN(AT$5,Z180+AJ181)</f>
        <v>0.0</v>
      </c>
      <c r="AU181" s="31">
        <f>MIN(AU$5,AA180+AK181)</f>
        <v>0.0</v>
      </c>
    </row>
    <row r="182">
      <c r="A182" s="25" t="str">
        <f>IF(F181&gt;0.005,177,"")</f>
        <v/>
      </c>
      <c r="B182" s="33" t="str">
        <f>IF(A182="","",EDATE(Долги!$D$5,176))</f>
        <v/>
      </c>
      <c r="C182" s="31">
        <f>SUM(H182:Q182)</f>
        <v>0.0</v>
      </c>
      <c r="D182" s="31">
        <f>SUM(AB182:AK182)</f>
        <v>0.0</v>
      </c>
      <c r="E182" s="31">
        <f>C182-D182</f>
        <v>0.0</v>
      </c>
      <c r="F182" s="31">
        <f>SUM(R182:AA182)</f>
        <v>0.0</v>
      </c>
      <c r="G182" s="34" t="str">
        <f>IF(OR(A182="",$F$5&lt;=0),"",REPT("█",ROUND(20*F182/$F$5,0)))</f>
        <v/>
      </c>
      <c r="H182" s="31">
        <f>AL182+MIN(R181+AB182-AL182,MAX(0,ROUND(Долги!$D$19-SUM($AL182:$AU182),2)))</f>
        <v>0.0</v>
      </c>
      <c r="I182" s="31">
        <f>AM182+MIN(S181+AC182-AM182,MAX(0,ROUND(ROUND(Долги!$D$19-SUM($AL182:$AU182),2)-(SUM($H182:H182)-SUM($AL182:AL182)),2)))</f>
        <v>0.0</v>
      </c>
      <c r="J182" s="31">
        <f>AN182+MIN(T181+AD182-AN182,MAX(0,ROUND(ROUND(Долги!$D$19-SUM($AL182:$AU182),2)-(SUM($H182:I182)-SUM($AL182:AM182)),2)))</f>
        <v>0.0</v>
      </c>
      <c r="K182" s="31">
        <f>AO182+MIN(U181+AE182-AO182,MAX(0,ROUND(ROUND(Долги!$D$19-SUM($AL182:$AU182),2)-(SUM($H182:J182)-SUM($AL182:AN182)),2)))</f>
        <v>0.0</v>
      </c>
      <c r="L182" s="31">
        <f>AP182+MIN(V181+AF182-AP182,MAX(0,ROUND(ROUND(Долги!$D$19-SUM($AL182:$AU182),2)-(SUM($H182:K182)-SUM($AL182:AO182)),2)))</f>
        <v>0.0</v>
      </c>
      <c r="M182" s="31">
        <f>AQ182+MIN(W181+AG182-AQ182,MAX(0,ROUND(ROUND(Долги!$D$19-SUM($AL182:$AU182),2)-(SUM($H182:L182)-SUM($AL182:AP182)),2)))</f>
        <v>0.0</v>
      </c>
      <c r="N182" s="31">
        <f>AR182+MIN(X181+AH182-AR182,MAX(0,ROUND(ROUND(Долги!$D$19-SUM($AL182:$AU182),2)-(SUM($H182:M182)-SUM($AL182:AQ182)),2)))</f>
        <v>0.0</v>
      </c>
      <c r="O182" s="31">
        <f>AS182+MIN(Y181+AI182-AS182,MAX(0,ROUND(ROUND(Долги!$D$19-SUM($AL182:$AU182),2)-(SUM($H182:N182)-SUM($AL182:AR182)),2)))</f>
        <v>0.0</v>
      </c>
      <c r="P182" s="31">
        <f>AT182+MIN(Z181+AJ182-AT182,MAX(0,ROUND(ROUND(Долги!$D$19-SUM($AL182:$AU182),2)-(SUM($H182:O182)-SUM($AL182:AS182)),2)))</f>
        <v>0.0</v>
      </c>
      <c r="Q182" s="31">
        <f>AU182+MIN(AA181+AK182-AU182,MAX(0,ROUND(ROUND(Долги!$D$19-SUM($AL182:$AU182),2)-(SUM($H182:P182)-SUM($AL182:AT182)),2)))</f>
        <v>0.0</v>
      </c>
      <c r="R182" s="31">
        <f>IF(R181+AB182-H182&lt;=0.01,0,ROUND(R181+AB182-H182,2))</f>
        <v>0.0</v>
      </c>
      <c r="S182" s="31">
        <f>IF(S181+AC182-I182&lt;=0.01,0,ROUND(S181+AC182-I182,2))</f>
        <v>0.0</v>
      </c>
      <c r="T182" s="31">
        <f>IF(T181+AD182-J182&lt;=0.01,0,ROUND(T181+AD182-J182,2))</f>
        <v>0.0</v>
      </c>
      <c r="U182" s="31">
        <f>IF(U181+AE182-K182&lt;=0.01,0,ROUND(U181+AE182-K182,2))</f>
        <v>0.0</v>
      </c>
      <c r="V182" s="31">
        <f>IF(V181+AF182-L182&lt;=0.01,0,ROUND(V181+AF182-L182,2))</f>
        <v>0.0</v>
      </c>
      <c r="W182" s="31">
        <f>IF(W181+AG182-M182&lt;=0.01,0,ROUND(W181+AG182-M182,2))</f>
        <v>0.0</v>
      </c>
      <c r="X182" s="31">
        <f>IF(X181+AH182-N182&lt;=0.01,0,ROUND(X181+AH182-N182,2))</f>
        <v>0.0</v>
      </c>
      <c r="Y182" s="31">
        <f>IF(Y181+AI182-O182&lt;=0.01,0,ROUND(Y181+AI182-O182,2))</f>
        <v>0.0</v>
      </c>
      <c r="Z182" s="31">
        <f>IF(Z181+AJ182-P182&lt;=0.01,0,ROUND(Z181+AJ182-P182,2))</f>
        <v>0.0</v>
      </c>
      <c r="AA182" s="31">
        <f>IF(AA181+AK182-Q182&lt;=0.01,0,ROUND(AA181+AK182-Q182,2))</f>
        <v>0.0</v>
      </c>
      <c r="AB182" s="31">
        <f>ROUND(R181*AB$5/1200,2)</f>
        <v>0.0</v>
      </c>
      <c r="AC182" s="31">
        <f>ROUND(S181*AC$5/1200,2)</f>
        <v>0.0</v>
      </c>
      <c r="AD182" s="31">
        <f>ROUND(T181*AD$5/1200,2)</f>
        <v>0.0</v>
      </c>
      <c r="AE182" s="31">
        <f>ROUND(U181*AE$5/1200,2)</f>
        <v>0.0</v>
      </c>
      <c r="AF182" s="31">
        <f>ROUND(V181*AF$5/1200,2)</f>
        <v>0.0</v>
      </c>
      <c r="AG182" s="31">
        <f>ROUND(W181*AG$5/1200,2)</f>
        <v>0.0</v>
      </c>
      <c r="AH182" s="31">
        <f>ROUND(X181*AH$5/1200,2)</f>
        <v>0.0</v>
      </c>
      <c r="AI182" s="31">
        <f>ROUND(Y181*AI$5/1200,2)</f>
        <v>0.0</v>
      </c>
      <c r="AJ182" s="31">
        <f>ROUND(Z181*AJ$5/1200,2)</f>
        <v>0.0</v>
      </c>
      <c r="AK182" s="31">
        <f>ROUND(AA181*AK$5/1200,2)</f>
        <v>0.0</v>
      </c>
      <c r="AL182" s="31">
        <f>MIN(AL$5,R181+AB182)</f>
        <v>0.0</v>
      </c>
      <c r="AM182" s="31">
        <f>MIN(AM$5,S181+AC182)</f>
        <v>0.0</v>
      </c>
      <c r="AN182" s="31">
        <f>MIN(AN$5,T181+AD182)</f>
        <v>0.0</v>
      </c>
      <c r="AO182" s="31">
        <f>MIN(AO$5,U181+AE182)</f>
        <v>0.0</v>
      </c>
      <c r="AP182" s="31">
        <f>MIN(AP$5,V181+AF182)</f>
        <v>0.0</v>
      </c>
      <c r="AQ182" s="31">
        <f>MIN(AQ$5,W181+AG182)</f>
        <v>0.0</v>
      </c>
      <c r="AR182" s="31">
        <f>MIN(AR$5,X181+AH182)</f>
        <v>0.0</v>
      </c>
      <c r="AS182" s="31">
        <f>MIN(AS$5,Y181+AI182)</f>
        <v>0.0</v>
      </c>
      <c r="AT182" s="31">
        <f>MIN(AT$5,Z181+AJ182)</f>
        <v>0.0</v>
      </c>
      <c r="AU182" s="31">
        <f>MIN(AU$5,AA181+AK182)</f>
        <v>0.0</v>
      </c>
    </row>
    <row r="183">
      <c r="A183" s="25" t="str">
        <f>IF(F182&gt;0.005,178,"")</f>
        <v/>
      </c>
      <c r="B183" s="33" t="str">
        <f>IF(A183="","",EDATE(Долги!$D$5,177))</f>
        <v/>
      </c>
      <c r="C183" s="31">
        <f>SUM(H183:Q183)</f>
        <v>0.0</v>
      </c>
      <c r="D183" s="31">
        <f>SUM(AB183:AK183)</f>
        <v>0.0</v>
      </c>
      <c r="E183" s="31">
        <f>C183-D183</f>
        <v>0.0</v>
      </c>
      <c r="F183" s="31">
        <f>SUM(R183:AA183)</f>
        <v>0.0</v>
      </c>
      <c r="G183" s="34" t="str">
        <f>IF(OR(A183="",$F$5&lt;=0),"",REPT("█",ROUND(20*F183/$F$5,0)))</f>
        <v/>
      </c>
      <c r="H183" s="31">
        <f>AL183+MIN(R182+AB183-AL183,MAX(0,ROUND(Долги!$D$19-SUM($AL183:$AU183),2)))</f>
        <v>0.0</v>
      </c>
      <c r="I183" s="31">
        <f>AM183+MIN(S182+AC183-AM183,MAX(0,ROUND(ROUND(Долги!$D$19-SUM($AL183:$AU183),2)-(SUM($H183:H183)-SUM($AL183:AL183)),2)))</f>
        <v>0.0</v>
      </c>
      <c r="J183" s="31">
        <f>AN183+MIN(T182+AD183-AN183,MAX(0,ROUND(ROUND(Долги!$D$19-SUM($AL183:$AU183),2)-(SUM($H183:I183)-SUM($AL183:AM183)),2)))</f>
        <v>0.0</v>
      </c>
      <c r="K183" s="31">
        <f>AO183+MIN(U182+AE183-AO183,MAX(0,ROUND(ROUND(Долги!$D$19-SUM($AL183:$AU183),2)-(SUM($H183:J183)-SUM($AL183:AN183)),2)))</f>
        <v>0.0</v>
      </c>
      <c r="L183" s="31">
        <f>AP183+MIN(V182+AF183-AP183,MAX(0,ROUND(ROUND(Долги!$D$19-SUM($AL183:$AU183),2)-(SUM($H183:K183)-SUM($AL183:AO183)),2)))</f>
        <v>0.0</v>
      </c>
      <c r="M183" s="31">
        <f>AQ183+MIN(W182+AG183-AQ183,MAX(0,ROUND(ROUND(Долги!$D$19-SUM($AL183:$AU183),2)-(SUM($H183:L183)-SUM($AL183:AP183)),2)))</f>
        <v>0.0</v>
      </c>
      <c r="N183" s="31">
        <f>AR183+MIN(X182+AH183-AR183,MAX(0,ROUND(ROUND(Долги!$D$19-SUM($AL183:$AU183),2)-(SUM($H183:M183)-SUM($AL183:AQ183)),2)))</f>
        <v>0.0</v>
      </c>
      <c r="O183" s="31">
        <f>AS183+MIN(Y182+AI183-AS183,MAX(0,ROUND(ROUND(Долги!$D$19-SUM($AL183:$AU183),2)-(SUM($H183:N183)-SUM($AL183:AR183)),2)))</f>
        <v>0.0</v>
      </c>
      <c r="P183" s="31">
        <f>AT183+MIN(Z182+AJ183-AT183,MAX(0,ROUND(ROUND(Долги!$D$19-SUM($AL183:$AU183),2)-(SUM($H183:O183)-SUM($AL183:AS183)),2)))</f>
        <v>0.0</v>
      </c>
      <c r="Q183" s="31">
        <f>AU183+MIN(AA182+AK183-AU183,MAX(0,ROUND(ROUND(Долги!$D$19-SUM($AL183:$AU183),2)-(SUM($H183:P183)-SUM($AL183:AT183)),2)))</f>
        <v>0.0</v>
      </c>
      <c r="R183" s="31">
        <f>IF(R182+AB183-H183&lt;=0.01,0,ROUND(R182+AB183-H183,2))</f>
        <v>0.0</v>
      </c>
      <c r="S183" s="31">
        <f>IF(S182+AC183-I183&lt;=0.01,0,ROUND(S182+AC183-I183,2))</f>
        <v>0.0</v>
      </c>
      <c r="T183" s="31">
        <f>IF(T182+AD183-J183&lt;=0.01,0,ROUND(T182+AD183-J183,2))</f>
        <v>0.0</v>
      </c>
      <c r="U183" s="31">
        <f>IF(U182+AE183-K183&lt;=0.01,0,ROUND(U182+AE183-K183,2))</f>
        <v>0.0</v>
      </c>
      <c r="V183" s="31">
        <f>IF(V182+AF183-L183&lt;=0.01,0,ROUND(V182+AF183-L183,2))</f>
        <v>0.0</v>
      </c>
      <c r="W183" s="31">
        <f>IF(W182+AG183-M183&lt;=0.01,0,ROUND(W182+AG183-M183,2))</f>
        <v>0.0</v>
      </c>
      <c r="X183" s="31">
        <f>IF(X182+AH183-N183&lt;=0.01,0,ROUND(X182+AH183-N183,2))</f>
        <v>0.0</v>
      </c>
      <c r="Y183" s="31">
        <f>IF(Y182+AI183-O183&lt;=0.01,0,ROUND(Y182+AI183-O183,2))</f>
        <v>0.0</v>
      </c>
      <c r="Z183" s="31">
        <f>IF(Z182+AJ183-P183&lt;=0.01,0,ROUND(Z182+AJ183-P183,2))</f>
        <v>0.0</v>
      </c>
      <c r="AA183" s="31">
        <f>IF(AA182+AK183-Q183&lt;=0.01,0,ROUND(AA182+AK183-Q183,2))</f>
        <v>0.0</v>
      </c>
      <c r="AB183" s="31">
        <f>ROUND(R182*AB$5/1200,2)</f>
        <v>0.0</v>
      </c>
      <c r="AC183" s="31">
        <f>ROUND(S182*AC$5/1200,2)</f>
        <v>0.0</v>
      </c>
      <c r="AD183" s="31">
        <f>ROUND(T182*AD$5/1200,2)</f>
        <v>0.0</v>
      </c>
      <c r="AE183" s="31">
        <f>ROUND(U182*AE$5/1200,2)</f>
        <v>0.0</v>
      </c>
      <c r="AF183" s="31">
        <f>ROUND(V182*AF$5/1200,2)</f>
        <v>0.0</v>
      </c>
      <c r="AG183" s="31">
        <f>ROUND(W182*AG$5/1200,2)</f>
        <v>0.0</v>
      </c>
      <c r="AH183" s="31">
        <f>ROUND(X182*AH$5/1200,2)</f>
        <v>0.0</v>
      </c>
      <c r="AI183" s="31">
        <f>ROUND(Y182*AI$5/1200,2)</f>
        <v>0.0</v>
      </c>
      <c r="AJ183" s="31">
        <f>ROUND(Z182*AJ$5/1200,2)</f>
        <v>0.0</v>
      </c>
      <c r="AK183" s="31">
        <f>ROUND(AA182*AK$5/1200,2)</f>
        <v>0.0</v>
      </c>
      <c r="AL183" s="31">
        <f>MIN(AL$5,R182+AB183)</f>
        <v>0.0</v>
      </c>
      <c r="AM183" s="31">
        <f>MIN(AM$5,S182+AC183)</f>
        <v>0.0</v>
      </c>
      <c r="AN183" s="31">
        <f>MIN(AN$5,T182+AD183)</f>
        <v>0.0</v>
      </c>
      <c r="AO183" s="31">
        <f>MIN(AO$5,U182+AE183)</f>
        <v>0.0</v>
      </c>
      <c r="AP183" s="31">
        <f>MIN(AP$5,V182+AF183)</f>
        <v>0.0</v>
      </c>
      <c r="AQ183" s="31">
        <f>MIN(AQ$5,W182+AG183)</f>
        <v>0.0</v>
      </c>
      <c r="AR183" s="31">
        <f>MIN(AR$5,X182+AH183)</f>
        <v>0.0</v>
      </c>
      <c r="AS183" s="31">
        <f>MIN(AS$5,Y182+AI183)</f>
        <v>0.0</v>
      </c>
      <c r="AT183" s="31">
        <f>MIN(AT$5,Z182+AJ183)</f>
        <v>0.0</v>
      </c>
      <c r="AU183" s="31">
        <f>MIN(AU$5,AA182+AK183)</f>
        <v>0.0</v>
      </c>
    </row>
    <row r="184">
      <c r="A184" s="25" t="str">
        <f>IF(F183&gt;0.005,179,"")</f>
        <v/>
      </c>
      <c r="B184" s="33" t="str">
        <f>IF(A184="","",EDATE(Долги!$D$5,178))</f>
        <v/>
      </c>
      <c r="C184" s="31">
        <f>SUM(H184:Q184)</f>
        <v>0.0</v>
      </c>
      <c r="D184" s="31">
        <f>SUM(AB184:AK184)</f>
        <v>0.0</v>
      </c>
      <c r="E184" s="31">
        <f>C184-D184</f>
        <v>0.0</v>
      </c>
      <c r="F184" s="31">
        <f>SUM(R184:AA184)</f>
        <v>0.0</v>
      </c>
      <c r="G184" s="34" t="str">
        <f>IF(OR(A184="",$F$5&lt;=0),"",REPT("█",ROUND(20*F184/$F$5,0)))</f>
        <v/>
      </c>
      <c r="H184" s="31">
        <f>AL184+MIN(R183+AB184-AL184,MAX(0,ROUND(Долги!$D$19-SUM($AL184:$AU184),2)))</f>
        <v>0.0</v>
      </c>
      <c r="I184" s="31">
        <f>AM184+MIN(S183+AC184-AM184,MAX(0,ROUND(ROUND(Долги!$D$19-SUM($AL184:$AU184),2)-(SUM($H184:H184)-SUM($AL184:AL184)),2)))</f>
        <v>0.0</v>
      </c>
      <c r="J184" s="31">
        <f>AN184+MIN(T183+AD184-AN184,MAX(0,ROUND(ROUND(Долги!$D$19-SUM($AL184:$AU184),2)-(SUM($H184:I184)-SUM($AL184:AM184)),2)))</f>
        <v>0.0</v>
      </c>
      <c r="K184" s="31">
        <f>AO184+MIN(U183+AE184-AO184,MAX(0,ROUND(ROUND(Долги!$D$19-SUM($AL184:$AU184),2)-(SUM($H184:J184)-SUM($AL184:AN184)),2)))</f>
        <v>0.0</v>
      </c>
      <c r="L184" s="31">
        <f>AP184+MIN(V183+AF184-AP184,MAX(0,ROUND(ROUND(Долги!$D$19-SUM($AL184:$AU184),2)-(SUM($H184:K184)-SUM($AL184:AO184)),2)))</f>
        <v>0.0</v>
      </c>
      <c r="M184" s="31">
        <f>AQ184+MIN(W183+AG184-AQ184,MAX(0,ROUND(ROUND(Долги!$D$19-SUM($AL184:$AU184),2)-(SUM($H184:L184)-SUM($AL184:AP184)),2)))</f>
        <v>0.0</v>
      </c>
      <c r="N184" s="31">
        <f>AR184+MIN(X183+AH184-AR184,MAX(0,ROUND(ROUND(Долги!$D$19-SUM($AL184:$AU184),2)-(SUM($H184:M184)-SUM($AL184:AQ184)),2)))</f>
        <v>0.0</v>
      </c>
      <c r="O184" s="31">
        <f>AS184+MIN(Y183+AI184-AS184,MAX(0,ROUND(ROUND(Долги!$D$19-SUM($AL184:$AU184),2)-(SUM($H184:N184)-SUM($AL184:AR184)),2)))</f>
        <v>0.0</v>
      </c>
      <c r="P184" s="31">
        <f>AT184+MIN(Z183+AJ184-AT184,MAX(0,ROUND(ROUND(Долги!$D$19-SUM($AL184:$AU184),2)-(SUM($H184:O184)-SUM($AL184:AS184)),2)))</f>
        <v>0.0</v>
      </c>
      <c r="Q184" s="31">
        <f>AU184+MIN(AA183+AK184-AU184,MAX(0,ROUND(ROUND(Долги!$D$19-SUM($AL184:$AU184),2)-(SUM($H184:P184)-SUM($AL184:AT184)),2)))</f>
        <v>0.0</v>
      </c>
      <c r="R184" s="31">
        <f>IF(R183+AB184-H184&lt;=0.01,0,ROUND(R183+AB184-H184,2))</f>
        <v>0.0</v>
      </c>
      <c r="S184" s="31">
        <f>IF(S183+AC184-I184&lt;=0.01,0,ROUND(S183+AC184-I184,2))</f>
        <v>0.0</v>
      </c>
      <c r="T184" s="31">
        <f>IF(T183+AD184-J184&lt;=0.01,0,ROUND(T183+AD184-J184,2))</f>
        <v>0.0</v>
      </c>
      <c r="U184" s="31">
        <f>IF(U183+AE184-K184&lt;=0.01,0,ROUND(U183+AE184-K184,2))</f>
        <v>0.0</v>
      </c>
      <c r="V184" s="31">
        <f>IF(V183+AF184-L184&lt;=0.01,0,ROUND(V183+AF184-L184,2))</f>
        <v>0.0</v>
      </c>
      <c r="W184" s="31">
        <f>IF(W183+AG184-M184&lt;=0.01,0,ROUND(W183+AG184-M184,2))</f>
        <v>0.0</v>
      </c>
      <c r="X184" s="31">
        <f>IF(X183+AH184-N184&lt;=0.01,0,ROUND(X183+AH184-N184,2))</f>
        <v>0.0</v>
      </c>
      <c r="Y184" s="31">
        <f>IF(Y183+AI184-O184&lt;=0.01,0,ROUND(Y183+AI184-O184,2))</f>
        <v>0.0</v>
      </c>
      <c r="Z184" s="31">
        <f>IF(Z183+AJ184-P184&lt;=0.01,0,ROUND(Z183+AJ184-P184,2))</f>
        <v>0.0</v>
      </c>
      <c r="AA184" s="31">
        <f>IF(AA183+AK184-Q184&lt;=0.01,0,ROUND(AA183+AK184-Q184,2))</f>
        <v>0.0</v>
      </c>
      <c r="AB184" s="31">
        <f>ROUND(R183*AB$5/1200,2)</f>
        <v>0.0</v>
      </c>
      <c r="AC184" s="31">
        <f>ROUND(S183*AC$5/1200,2)</f>
        <v>0.0</v>
      </c>
      <c r="AD184" s="31">
        <f>ROUND(T183*AD$5/1200,2)</f>
        <v>0.0</v>
      </c>
      <c r="AE184" s="31">
        <f>ROUND(U183*AE$5/1200,2)</f>
        <v>0.0</v>
      </c>
      <c r="AF184" s="31">
        <f>ROUND(V183*AF$5/1200,2)</f>
        <v>0.0</v>
      </c>
      <c r="AG184" s="31">
        <f>ROUND(W183*AG$5/1200,2)</f>
        <v>0.0</v>
      </c>
      <c r="AH184" s="31">
        <f>ROUND(X183*AH$5/1200,2)</f>
        <v>0.0</v>
      </c>
      <c r="AI184" s="31">
        <f>ROUND(Y183*AI$5/1200,2)</f>
        <v>0.0</v>
      </c>
      <c r="AJ184" s="31">
        <f>ROUND(Z183*AJ$5/1200,2)</f>
        <v>0.0</v>
      </c>
      <c r="AK184" s="31">
        <f>ROUND(AA183*AK$5/1200,2)</f>
        <v>0.0</v>
      </c>
      <c r="AL184" s="31">
        <f>MIN(AL$5,R183+AB184)</f>
        <v>0.0</v>
      </c>
      <c r="AM184" s="31">
        <f>MIN(AM$5,S183+AC184)</f>
        <v>0.0</v>
      </c>
      <c r="AN184" s="31">
        <f>MIN(AN$5,T183+AD184)</f>
        <v>0.0</v>
      </c>
      <c r="AO184" s="31">
        <f>MIN(AO$5,U183+AE184)</f>
        <v>0.0</v>
      </c>
      <c r="AP184" s="31">
        <f>MIN(AP$5,V183+AF184)</f>
        <v>0.0</v>
      </c>
      <c r="AQ184" s="31">
        <f>MIN(AQ$5,W183+AG184)</f>
        <v>0.0</v>
      </c>
      <c r="AR184" s="31">
        <f>MIN(AR$5,X183+AH184)</f>
        <v>0.0</v>
      </c>
      <c r="AS184" s="31">
        <f>MIN(AS$5,Y183+AI184)</f>
        <v>0.0</v>
      </c>
      <c r="AT184" s="31">
        <f>MIN(AT$5,Z183+AJ184)</f>
        <v>0.0</v>
      </c>
      <c r="AU184" s="31">
        <f>MIN(AU$5,AA183+AK184)</f>
        <v>0.0</v>
      </c>
    </row>
    <row r="185">
      <c r="A185" s="25" t="str">
        <f>IF(F184&gt;0.005,180,"")</f>
        <v/>
      </c>
      <c r="B185" s="33" t="str">
        <f>IF(A185="","",EDATE(Долги!$D$5,179))</f>
        <v/>
      </c>
      <c r="C185" s="31">
        <f>SUM(H185:Q185)</f>
        <v>0.0</v>
      </c>
      <c r="D185" s="31">
        <f>SUM(AB185:AK185)</f>
        <v>0.0</v>
      </c>
      <c r="E185" s="31">
        <f>C185-D185</f>
        <v>0.0</v>
      </c>
      <c r="F185" s="31">
        <f>SUM(R185:AA185)</f>
        <v>0.0</v>
      </c>
      <c r="G185" s="34" t="str">
        <f>IF(OR(A185="",$F$5&lt;=0),"",REPT("█",ROUND(20*F185/$F$5,0)))</f>
        <v/>
      </c>
      <c r="H185" s="31">
        <f>AL185+MIN(R184+AB185-AL185,MAX(0,ROUND(Долги!$D$19-SUM($AL185:$AU185),2)))</f>
        <v>0.0</v>
      </c>
      <c r="I185" s="31">
        <f>AM185+MIN(S184+AC185-AM185,MAX(0,ROUND(ROUND(Долги!$D$19-SUM($AL185:$AU185),2)-(SUM($H185:H185)-SUM($AL185:AL185)),2)))</f>
        <v>0.0</v>
      </c>
      <c r="J185" s="31">
        <f>AN185+MIN(T184+AD185-AN185,MAX(0,ROUND(ROUND(Долги!$D$19-SUM($AL185:$AU185),2)-(SUM($H185:I185)-SUM($AL185:AM185)),2)))</f>
        <v>0.0</v>
      </c>
      <c r="K185" s="31">
        <f>AO185+MIN(U184+AE185-AO185,MAX(0,ROUND(ROUND(Долги!$D$19-SUM($AL185:$AU185),2)-(SUM($H185:J185)-SUM($AL185:AN185)),2)))</f>
        <v>0.0</v>
      </c>
      <c r="L185" s="31">
        <f>AP185+MIN(V184+AF185-AP185,MAX(0,ROUND(ROUND(Долги!$D$19-SUM($AL185:$AU185),2)-(SUM($H185:K185)-SUM($AL185:AO185)),2)))</f>
        <v>0.0</v>
      </c>
      <c r="M185" s="31">
        <f>AQ185+MIN(W184+AG185-AQ185,MAX(0,ROUND(ROUND(Долги!$D$19-SUM($AL185:$AU185),2)-(SUM($H185:L185)-SUM($AL185:AP185)),2)))</f>
        <v>0.0</v>
      </c>
      <c r="N185" s="31">
        <f>AR185+MIN(X184+AH185-AR185,MAX(0,ROUND(ROUND(Долги!$D$19-SUM($AL185:$AU185),2)-(SUM($H185:M185)-SUM($AL185:AQ185)),2)))</f>
        <v>0.0</v>
      </c>
      <c r="O185" s="31">
        <f>AS185+MIN(Y184+AI185-AS185,MAX(0,ROUND(ROUND(Долги!$D$19-SUM($AL185:$AU185),2)-(SUM($H185:N185)-SUM($AL185:AR185)),2)))</f>
        <v>0.0</v>
      </c>
      <c r="P185" s="31">
        <f>AT185+MIN(Z184+AJ185-AT185,MAX(0,ROUND(ROUND(Долги!$D$19-SUM($AL185:$AU185),2)-(SUM($H185:O185)-SUM($AL185:AS185)),2)))</f>
        <v>0.0</v>
      </c>
      <c r="Q185" s="31">
        <f>AU185+MIN(AA184+AK185-AU185,MAX(0,ROUND(ROUND(Долги!$D$19-SUM($AL185:$AU185),2)-(SUM($H185:P185)-SUM($AL185:AT185)),2)))</f>
        <v>0.0</v>
      </c>
      <c r="R185" s="31">
        <f>IF(R184+AB185-H185&lt;=0.01,0,ROUND(R184+AB185-H185,2))</f>
        <v>0.0</v>
      </c>
      <c r="S185" s="31">
        <f>IF(S184+AC185-I185&lt;=0.01,0,ROUND(S184+AC185-I185,2))</f>
        <v>0.0</v>
      </c>
      <c r="T185" s="31">
        <f>IF(T184+AD185-J185&lt;=0.01,0,ROUND(T184+AD185-J185,2))</f>
        <v>0.0</v>
      </c>
      <c r="U185" s="31">
        <f>IF(U184+AE185-K185&lt;=0.01,0,ROUND(U184+AE185-K185,2))</f>
        <v>0.0</v>
      </c>
      <c r="V185" s="31">
        <f>IF(V184+AF185-L185&lt;=0.01,0,ROUND(V184+AF185-L185,2))</f>
        <v>0.0</v>
      </c>
      <c r="W185" s="31">
        <f>IF(W184+AG185-M185&lt;=0.01,0,ROUND(W184+AG185-M185,2))</f>
        <v>0.0</v>
      </c>
      <c r="X185" s="31">
        <f>IF(X184+AH185-N185&lt;=0.01,0,ROUND(X184+AH185-N185,2))</f>
        <v>0.0</v>
      </c>
      <c r="Y185" s="31">
        <f>IF(Y184+AI185-O185&lt;=0.01,0,ROUND(Y184+AI185-O185,2))</f>
        <v>0.0</v>
      </c>
      <c r="Z185" s="31">
        <f>IF(Z184+AJ185-P185&lt;=0.01,0,ROUND(Z184+AJ185-P185,2))</f>
        <v>0.0</v>
      </c>
      <c r="AA185" s="31">
        <f>IF(AA184+AK185-Q185&lt;=0.01,0,ROUND(AA184+AK185-Q185,2))</f>
        <v>0.0</v>
      </c>
      <c r="AB185" s="31">
        <f>ROUND(R184*AB$5/1200,2)</f>
        <v>0.0</v>
      </c>
      <c r="AC185" s="31">
        <f>ROUND(S184*AC$5/1200,2)</f>
        <v>0.0</v>
      </c>
      <c r="AD185" s="31">
        <f>ROUND(T184*AD$5/1200,2)</f>
        <v>0.0</v>
      </c>
      <c r="AE185" s="31">
        <f>ROUND(U184*AE$5/1200,2)</f>
        <v>0.0</v>
      </c>
      <c r="AF185" s="31">
        <f>ROUND(V184*AF$5/1200,2)</f>
        <v>0.0</v>
      </c>
      <c r="AG185" s="31">
        <f>ROUND(W184*AG$5/1200,2)</f>
        <v>0.0</v>
      </c>
      <c r="AH185" s="31">
        <f>ROUND(X184*AH$5/1200,2)</f>
        <v>0.0</v>
      </c>
      <c r="AI185" s="31">
        <f>ROUND(Y184*AI$5/1200,2)</f>
        <v>0.0</v>
      </c>
      <c r="AJ185" s="31">
        <f>ROUND(Z184*AJ$5/1200,2)</f>
        <v>0.0</v>
      </c>
      <c r="AK185" s="31">
        <f>ROUND(AA184*AK$5/1200,2)</f>
        <v>0.0</v>
      </c>
      <c r="AL185" s="31">
        <f>MIN(AL$5,R184+AB185)</f>
        <v>0.0</v>
      </c>
      <c r="AM185" s="31">
        <f>MIN(AM$5,S184+AC185)</f>
        <v>0.0</v>
      </c>
      <c r="AN185" s="31">
        <f>MIN(AN$5,T184+AD185)</f>
        <v>0.0</v>
      </c>
      <c r="AO185" s="31">
        <f>MIN(AO$5,U184+AE185)</f>
        <v>0.0</v>
      </c>
      <c r="AP185" s="31">
        <f>MIN(AP$5,V184+AF185)</f>
        <v>0.0</v>
      </c>
      <c r="AQ185" s="31">
        <f>MIN(AQ$5,W184+AG185)</f>
        <v>0.0</v>
      </c>
      <c r="AR185" s="31">
        <f>MIN(AR$5,X184+AH185)</f>
        <v>0.0</v>
      </c>
      <c r="AS185" s="31">
        <f>MIN(AS$5,Y184+AI185)</f>
        <v>0.0</v>
      </c>
      <c r="AT185" s="31">
        <f>MIN(AT$5,Z184+AJ185)</f>
        <v>0.0</v>
      </c>
      <c r="AU185" s="31">
        <f>MIN(AU$5,AA184+AK185)</f>
        <v>0.0</v>
      </c>
    </row>
    <row r="186">
      <c r="A186" s="25" t="str">
        <f>IF(F185&gt;0.005,181,"")</f>
        <v/>
      </c>
      <c r="B186" s="33" t="str">
        <f>IF(A186="","",EDATE(Долги!$D$5,180))</f>
        <v/>
      </c>
      <c r="C186" s="31">
        <f>SUM(H186:Q186)</f>
        <v>0.0</v>
      </c>
      <c r="D186" s="31">
        <f>SUM(AB186:AK186)</f>
        <v>0.0</v>
      </c>
      <c r="E186" s="31">
        <f>C186-D186</f>
        <v>0.0</v>
      </c>
      <c r="F186" s="31">
        <f>SUM(R186:AA186)</f>
        <v>0.0</v>
      </c>
      <c r="G186" s="34" t="str">
        <f>IF(OR(A186="",$F$5&lt;=0),"",REPT("█",ROUND(20*F186/$F$5,0)))</f>
        <v/>
      </c>
      <c r="H186" s="31">
        <f>AL186+MIN(R185+AB186-AL186,MAX(0,ROUND(Долги!$D$19-SUM($AL186:$AU186),2)))</f>
        <v>0.0</v>
      </c>
      <c r="I186" s="31">
        <f>AM186+MIN(S185+AC186-AM186,MAX(0,ROUND(ROUND(Долги!$D$19-SUM($AL186:$AU186),2)-(SUM($H186:H186)-SUM($AL186:AL186)),2)))</f>
        <v>0.0</v>
      </c>
      <c r="J186" s="31">
        <f>AN186+MIN(T185+AD186-AN186,MAX(0,ROUND(ROUND(Долги!$D$19-SUM($AL186:$AU186),2)-(SUM($H186:I186)-SUM($AL186:AM186)),2)))</f>
        <v>0.0</v>
      </c>
      <c r="K186" s="31">
        <f>AO186+MIN(U185+AE186-AO186,MAX(0,ROUND(ROUND(Долги!$D$19-SUM($AL186:$AU186),2)-(SUM($H186:J186)-SUM($AL186:AN186)),2)))</f>
        <v>0.0</v>
      </c>
      <c r="L186" s="31">
        <f>AP186+MIN(V185+AF186-AP186,MAX(0,ROUND(ROUND(Долги!$D$19-SUM($AL186:$AU186),2)-(SUM($H186:K186)-SUM($AL186:AO186)),2)))</f>
        <v>0.0</v>
      </c>
      <c r="M186" s="31">
        <f>AQ186+MIN(W185+AG186-AQ186,MAX(0,ROUND(ROUND(Долги!$D$19-SUM($AL186:$AU186),2)-(SUM($H186:L186)-SUM($AL186:AP186)),2)))</f>
        <v>0.0</v>
      </c>
      <c r="N186" s="31">
        <f>AR186+MIN(X185+AH186-AR186,MAX(0,ROUND(ROUND(Долги!$D$19-SUM($AL186:$AU186),2)-(SUM($H186:M186)-SUM($AL186:AQ186)),2)))</f>
        <v>0.0</v>
      </c>
      <c r="O186" s="31">
        <f>AS186+MIN(Y185+AI186-AS186,MAX(0,ROUND(ROUND(Долги!$D$19-SUM($AL186:$AU186),2)-(SUM($H186:N186)-SUM($AL186:AR186)),2)))</f>
        <v>0.0</v>
      </c>
      <c r="P186" s="31">
        <f>AT186+MIN(Z185+AJ186-AT186,MAX(0,ROUND(ROUND(Долги!$D$19-SUM($AL186:$AU186),2)-(SUM($H186:O186)-SUM($AL186:AS186)),2)))</f>
        <v>0.0</v>
      </c>
      <c r="Q186" s="31">
        <f>AU186+MIN(AA185+AK186-AU186,MAX(0,ROUND(ROUND(Долги!$D$19-SUM($AL186:$AU186),2)-(SUM($H186:P186)-SUM($AL186:AT186)),2)))</f>
        <v>0.0</v>
      </c>
      <c r="R186" s="31">
        <f>IF(R185+AB186-H186&lt;=0.01,0,ROUND(R185+AB186-H186,2))</f>
        <v>0.0</v>
      </c>
      <c r="S186" s="31">
        <f>IF(S185+AC186-I186&lt;=0.01,0,ROUND(S185+AC186-I186,2))</f>
        <v>0.0</v>
      </c>
      <c r="T186" s="31">
        <f>IF(T185+AD186-J186&lt;=0.01,0,ROUND(T185+AD186-J186,2))</f>
        <v>0.0</v>
      </c>
      <c r="U186" s="31">
        <f>IF(U185+AE186-K186&lt;=0.01,0,ROUND(U185+AE186-K186,2))</f>
        <v>0.0</v>
      </c>
      <c r="V186" s="31">
        <f>IF(V185+AF186-L186&lt;=0.01,0,ROUND(V185+AF186-L186,2))</f>
        <v>0.0</v>
      </c>
      <c r="W186" s="31">
        <f>IF(W185+AG186-M186&lt;=0.01,0,ROUND(W185+AG186-M186,2))</f>
        <v>0.0</v>
      </c>
      <c r="X186" s="31">
        <f>IF(X185+AH186-N186&lt;=0.01,0,ROUND(X185+AH186-N186,2))</f>
        <v>0.0</v>
      </c>
      <c r="Y186" s="31">
        <f>IF(Y185+AI186-O186&lt;=0.01,0,ROUND(Y185+AI186-O186,2))</f>
        <v>0.0</v>
      </c>
      <c r="Z186" s="31">
        <f>IF(Z185+AJ186-P186&lt;=0.01,0,ROUND(Z185+AJ186-P186,2))</f>
        <v>0.0</v>
      </c>
      <c r="AA186" s="31">
        <f>IF(AA185+AK186-Q186&lt;=0.01,0,ROUND(AA185+AK186-Q186,2))</f>
        <v>0.0</v>
      </c>
      <c r="AB186" s="31">
        <f>ROUND(R185*AB$5/1200,2)</f>
        <v>0.0</v>
      </c>
      <c r="AC186" s="31">
        <f>ROUND(S185*AC$5/1200,2)</f>
        <v>0.0</v>
      </c>
      <c r="AD186" s="31">
        <f>ROUND(T185*AD$5/1200,2)</f>
        <v>0.0</v>
      </c>
      <c r="AE186" s="31">
        <f>ROUND(U185*AE$5/1200,2)</f>
        <v>0.0</v>
      </c>
      <c r="AF186" s="31">
        <f>ROUND(V185*AF$5/1200,2)</f>
        <v>0.0</v>
      </c>
      <c r="AG186" s="31">
        <f>ROUND(W185*AG$5/1200,2)</f>
        <v>0.0</v>
      </c>
      <c r="AH186" s="31">
        <f>ROUND(X185*AH$5/1200,2)</f>
        <v>0.0</v>
      </c>
      <c r="AI186" s="31">
        <f>ROUND(Y185*AI$5/1200,2)</f>
        <v>0.0</v>
      </c>
      <c r="AJ186" s="31">
        <f>ROUND(Z185*AJ$5/1200,2)</f>
        <v>0.0</v>
      </c>
      <c r="AK186" s="31">
        <f>ROUND(AA185*AK$5/1200,2)</f>
        <v>0.0</v>
      </c>
      <c r="AL186" s="31">
        <f>MIN(AL$5,R185+AB186)</f>
        <v>0.0</v>
      </c>
      <c r="AM186" s="31">
        <f>MIN(AM$5,S185+AC186)</f>
        <v>0.0</v>
      </c>
      <c r="AN186" s="31">
        <f>MIN(AN$5,T185+AD186)</f>
        <v>0.0</v>
      </c>
      <c r="AO186" s="31">
        <f>MIN(AO$5,U185+AE186)</f>
        <v>0.0</v>
      </c>
      <c r="AP186" s="31">
        <f>MIN(AP$5,V185+AF186)</f>
        <v>0.0</v>
      </c>
      <c r="AQ186" s="31">
        <f>MIN(AQ$5,W185+AG186)</f>
        <v>0.0</v>
      </c>
      <c r="AR186" s="31">
        <f>MIN(AR$5,X185+AH186)</f>
        <v>0.0</v>
      </c>
      <c r="AS186" s="31">
        <f>MIN(AS$5,Y185+AI186)</f>
        <v>0.0</v>
      </c>
      <c r="AT186" s="31">
        <f>MIN(AT$5,Z185+AJ186)</f>
        <v>0.0</v>
      </c>
      <c r="AU186" s="31">
        <f>MIN(AU$5,AA185+AK186)</f>
        <v>0.0</v>
      </c>
    </row>
    <row r="187">
      <c r="A187" s="25" t="str">
        <f>IF(F186&gt;0.005,182,"")</f>
        <v/>
      </c>
      <c r="B187" s="33" t="str">
        <f>IF(A187="","",EDATE(Долги!$D$5,181))</f>
        <v/>
      </c>
      <c r="C187" s="31">
        <f>SUM(H187:Q187)</f>
        <v>0.0</v>
      </c>
      <c r="D187" s="31">
        <f>SUM(AB187:AK187)</f>
        <v>0.0</v>
      </c>
      <c r="E187" s="31">
        <f>C187-D187</f>
        <v>0.0</v>
      </c>
      <c r="F187" s="31">
        <f>SUM(R187:AA187)</f>
        <v>0.0</v>
      </c>
      <c r="G187" s="34" t="str">
        <f>IF(OR(A187="",$F$5&lt;=0),"",REPT("█",ROUND(20*F187/$F$5,0)))</f>
        <v/>
      </c>
      <c r="H187" s="31">
        <f>AL187+MIN(R186+AB187-AL187,MAX(0,ROUND(Долги!$D$19-SUM($AL187:$AU187),2)))</f>
        <v>0.0</v>
      </c>
      <c r="I187" s="31">
        <f>AM187+MIN(S186+AC187-AM187,MAX(0,ROUND(ROUND(Долги!$D$19-SUM($AL187:$AU187),2)-(SUM($H187:H187)-SUM($AL187:AL187)),2)))</f>
        <v>0.0</v>
      </c>
      <c r="J187" s="31">
        <f>AN187+MIN(T186+AD187-AN187,MAX(0,ROUND(ROUND(Долги!$D$19-SUM($AL187:$AU187),2)-(SUM($H187:I187)-SUM($AL187:AM187)),2)))</f>
        <v>0.0</v>
      </c>
      <c r="K187" s="31">
        <f>AO187+MIN(U186+AE187-AO187,MAX(0,ROUND(ROUND(Долги!$D$19-SUM($AL187:$AU187),2)-(SUM($H187:J187)-SUM($AL187:AN187)),2)))</f>
        <v>0.0</v>
      </c>
      <c r="L187" s="31">
        <f>AP187+MIN(V186+AF187-AP187,MAX(0,ROUND(ROUND(Долги!$D$19-SUM($AL187:$AU187),2)-(SUM($H187:K187)-SUM($AL187:AO187)),2)))</f>
        <v>0.0</v>
      </c>
      <c r="M187" s="31">
        <f>AQ187+MIN(W186+AG187-AQ187,MAX(0,ROUND(ROUND(Долги!$D$19-SUM($AL187:$AU187),2)-(SUM($H187:L187)-SUM($AL187:AP187)),2)))</f>
        <v>0.0</v>
      </c>
      <c r="N187" s="31">
        <f>AR187+MIN(X186+AH187-AR187,MAX(0,ROUND(ROUND(Долги!$D$19-SUM($AL187:$AU187),2)-(SUM($H187:M187)-SUM($AL187:AQ187)),2)))</f>
        <v>0.0</v>
      </c>
      <c r="O187" s="31">
        <f>AS187+MIN(Y186+AI187-AS187,MAX(0,ROUND(ROUND(Долги!$D$19-SUM($AL187:$AU187),2)-(SUM($H187:N187)-SUM($AL187:AR187)),2)))</f>
        <v>0.0</v>
      </c>
      <c r="P187" s="31">
        <f>AT187+MIN(Z186+AJ187-AT187,MAX(0,ROUND(ROUND(Долги!$D$19-SUM($AL187:$AU187),2)-(SUM($H187:O187)-SUM($AL187:AS187)),2)))</f>
        <v>0.0</v>
      </c>
      <c r="Q187" s="31">
        <f>AU187+MIN(AA186+AK187-AU187,MAX(0,ROUND(ROUND(Долги!$D$19-SUM($AL187:$AU187),2)-(SUM($H187:P187)-SUM($AL187:AT187)),2)))</f>
        <v>0.0</v>
      </c>
      <c r="R187" s="31">
        <f>IF(R186+AB187-H187&lt;=0.01,0,ROUND(R186+AB187-H187,2))</f>
        <v>0.0</v>
      </c>
      <c r="S187" s="31">
        <f>IF(S186+AC187-I187&lt;=0.01,0,ROUND(S186+AC187-I187,2))</f>
        <v>0.0</v>
      </c>
      <c r="T187" s="31">
        <f>IF(T186+AD187-J187&lt;=0.01,0,ROUND(T186+AD187-J187,2))</f>
        <v>0.0</v>
      </c>
      <c r="U187" s="31">
        <f>IF(U186+AE187-K187&lt;=0.01,0,ROUND(U186+AE187-K187,2))</f>
        <v>0.0</v>
      </c>
      <c r="V187" s="31">
        <f>IF(V186+AF187-L187&lt;=0.01,0,ROUND(V186+AF187-L187,2))</f>
        <v>0.0</v>
      </c>
      <c r="W187" s="31">
        <f>IF(W186+AG187-M187&lt;=0.01,0,ROUND(W186+AG187-M187,2))</f>
        <v>0.0</v>
      </c>
      <c r="X187" s="31">
        <f>IF(X186+AH187-N187&lt;=0.01,0,ROUND(X186+AH187-N187,2))</f>
        <v>0.0</v>
      </c>
      <c r="Y187" s="31">
        <f>IF(Y186+AI187-O187&lt;=0.01,0,ROUND(Y186+AI187-O187,2))</f>
        <v>0.0</v>
      </c>
      <c r="Z187" s="31">
        <f>IF(Z186+AJ187-P187&lt;=0.01,0,ROUND(Z186+AJ187-P187,2))</f>
        <v>0.0</v>
      </c>
      <c r="AA187" s="31">
        <f>IF(AA186+AK187-Q187&lt;=0.01,0,ROUND(AA186+AK187-Q187,2))</f>
        <v>0.0</v>
      </c>
      <c r="AB187" s="31">
        <f>ROUND(R186*AB$5/1200,2)</f>
        <v>0.0</v>
      </c>
      <c r="AC187" s="31">
        <f>ROUND(S186*AC$5/1200,2)</f>
        <v>0.0</v>
      </c>
      <c r="AD187" s="31">
        <f>ROUND(T186*AD$5/1200,2)</f>
        <v>0.0</v>
      </c>
      <c r="AE187" s="31">
        <f>ROUND(U186*AE$5/1200,2)</f>
        <v>0.0</v>
      </c>
      <c r="AF187" s="31">
        <f>ROUND(V186*AF$5/1200,2)</f>
        <v>0.0</v>
      </c>
      <c r="AG187" s="31">
        <f>ROUND(W186*AG$5/1200,2)</f>
        <v>0.0</v>
      </c>
      <c r="AH187" s="31">
        <f>ROUND(X186*AH$5/1200,2)</f>
        <v>0.0</v>
      </c>
      <c r="AI187" s="31">
        <f>ROUND(Y186*AI$5/1200,2)</f>
        <v>0.0</v>
      </c>
      <c r="AJ187" s="31">
        <f>ROUND(Z186*AJ$5/1200,2)</f>
        <v>0.0</v>
      </c>
      <c r="AK187" s="31">
        <f>ROUND(AA186*AK$5/1200,2)</f>
        <v>0.0</v>
      </c>
      <c r="AL187" s="31">
        <f>MIN(AL$5,R186+AB187)</f>
        <v>0.0</v>
      </c>
      <c r="AM187" s="31">
        <f>MIN(AM$5,S186+AC187)</f>
        <v>0.0</v>
      </c>
      <c r="AN187" s="31">
        <f>MIN(AN$5,T186+AD187)</f>
        <v>0.0</v>
      </c>
      <c r="AO187" s="31">
        <f>MIN(AO$5,U186+AE187)</f>
        <v>0.0</v>
      </c>
      <c r="AP187" s="31">
        <f>MIN(AP$5,V186+AF187)</f>
        <v>0.0</v>
      </c>
      <c r="AQ187" s="31">
        <f>MIN(AQ$5,W186+AG187)</f>
        <v>0.0</v>
      </c>
      <c r="AR187" s="31">
        <f>MIN(AR$5,X186+AH187)</f>
        <v>0.0</v>
      </c>
      <c r="AS187" s="31">
        <f>MIN(AS$5,Y186+AI187)</f>
        <v>0.0</v>
      </c>
      <c r="AT187" s="31">
        <f>MIN(AT$5,Z186+AJ187)</f>
        <v>0.0</v>
      </c>
      <c r="AU187" s="31">
        <f>MIN(AU$5,AA186+AK187)</f>
        <v>0.0</v>
      </c>
    </row>
    <row r="188">
      <c r="A188" s="25" t="str">
        <f>IF(F187&gt;0.005,183,"")</f>
        <v/>
      </c>
      <c r="B188" s="33" t="str">
        <f>IF(A188="","",EDATE(Долги!$D$5,182))</f>
        <v/>
      </c>
      <c r="C188" s="31">
        <f>SUM(H188:Q188)</f>
        <v>0.0</v>
      </c>
      <c r="D188" s="31">
        <f>SUM(AB188:AK188)</f>
        <v>0.0</v>
      </c>
      <c r="E188" s="31">
        <f>C188-D188</f>
        <v>0.0</v>
      </c>
      <c r="F188" s="31">
        <f>SUM(R188:AA188)</f>
        <v>0.0</v>
      </c>
      <c r="G188" s="34" t="str">
        <f>IF(OR(A188="",$F$5&lt;=0),"",REPT("█",ROUND(20*F188/$F$5,0)))</f>
        <v/>
      </c>
      <c r="H188" s="31">
        <f>AL188+MIN(R187+AB188-AL188,MAX(0,ROUND(Долги!$D$19-SUM($AL188:$AU188),2)))</f>
        <v>0.0</v>
      </c>
      <c r="I188" s="31">
        <f>AM188+MIN(S187+AC188-AM188,MAX(0,ROUND(ROUND(Долги!$D$19-SUM($AL188:$AU188),2)-(SUM($H188:H188)-SUM($AL188:AL188)),2)))</f>
        <v>0.0</v>
      </c>
      <c r="J188" s="31">
        <f>AN188+MIN(T187+AD188-AN188,MAX(0,ROUND(ROUND(Долги!$D$19-SUM($AL188:$AU188),2)-(SUM($H188:I188)-SUM($AL188:AM188)),2)))</f>
        <v>0.0</v>
      </c>
      <c r="K188" s="31">
        <f>AO188+MIN(U187+AE188-AO188,MAX(0,ROUND(ROUND(Долги!$D$19-SUM($AL188:$AU188),2)-(SUM($H188:J188)-SUM($AL188:AN188)),2)))</f>
        <v>0.0</v>
      </c>
      <c r="L188" s="31">
        <f>AP188+MIN(V187+AF188-AP188,MAX(0,ROUND(ROUND(Долги!$D$19-SUM($AL188:$AU188),2)-(SUM($H188:K188)-SUM($AL188:AO188)),2)))</f>
        <v>0.0</v>
      </c>
      <c r="M188" s="31">
        <f>AQ188+MIN(W187+AG188-AQ188,MAX(0,ROUND(ROUND(Долги!$D$19-SUM($AL188:$AU188),2)-(SUM($H188:L188)-SUM($AL188:AP188)),2)))</f>
        <v>0.0</v>
      </c>
      <c r="N188" s="31">
        <f>AR188+MIN(X187+AH188-AR188,MAX(0,ROUND(ROUND(Долги!$D$19-SUM($AL188:$AU188),2)-(SUM($H188:M188)-SUM($AL188:AQ188)),2)))</f>
        <v>0.0</v>
      </c>
      <c r="O188" s="31">
        <f>AS188+MIN(Y187+AI188-AS188,MAX(0,ROUND(ROUND(Долги!$D$19-SUM($AL188:$AU188),2)-(SUM($H188:N188)-SUM($AL188:AR188)),2)))</f>
        <v>0.0</v>
      </c>
      <c r="P188" s="31">
        <f>AT188+MIN(Z187+AJ188-AT188,MAX(0,ROUND(ROUND(Долги!$D$19-SUM($AL188:$AU188),2)-(SUM($H188:O188)-SUM($AL188:AS188)),2)))</f>
        <v>0.0</v>
      </c>
      <c r="Q188" s="31">
        <f>AU188+MIN(AA187+AK188-AU188,MAX(0,ROUND(ROUND(Долги!$D$19-SUM($AL188:$AU188),2)-(SUM($H188:P188)-SUM($AL188:AT188)),2)))</f>
        <v>0.0</v>
      </c>
      <c r="R188" s="31">
        <f>IF(R187+AB188-H188&lt;=0.01,0,ROUND(R187+AB188-H188,2))</f>
        <v>0.0</v>
      </c>
      <c r="S188" s="31">
        <f>IF(S187+AC188-I188&lt;=0.01,0,ROUND(S187+AC188-I188,2))</f>
        <v>0.0</v>
      </c>
      <c r="T188" s="31">
        <f>IF(T187+AD188-J188&lt;=0.01,0,ROUND(T187+AD188-J188,2))</f>
        <v>0.0</v>
      </c>
      <c r="U188" s="31">
        <f>IF(U187+AE188-K188&lt;=0.01,0,ROUND(U187+AE188-K188,2))</f>
        <v>0.0</v>
      </c>
      <c r="V188" s="31">
        <f>IF(V187+AF188-L188&lt;=0.01,0,ROUND(V187+AF188-L188,2))</f>
        <v>0.0</v>
      </c>
      <c r="W188" s="31">
        <f>IF(W187+AG188-M188&lt;=0.01,0,ROUND(W187+AG188-M188,2))</f>
        <v>0.0</v>
      </c>
      <c r="X188" s="31">
        <f>IF(X187+AH188-N188&lt;=0.01,0,ROUND(X187+AH188-N188,2))</f>
        <v>0.0</v>
      </c>
      <c r="Y188" s="31">
        <f>IF(Y187+AI188-O188&lt;=0.01,0,ROUND(Y187+AI188-O188,2))</f>
        <v>0.0</v>
      </c>
      <c r="Z188" s="31">
        <f>IF(Z187+AJ188-P188&lt;=0.01,0,ROUND(Z187+AJ188-P188,2))</f>
        <v>0.0</v>
      </c>
      <c r="AA188" s="31">
        <f>IF(AA187+AK188-Q188&lt;=0.01,0,ROUND(AA187+AK188-Q188,2))</f>
        <v>0.0</v>
      </c>
      <c r="AB188" s="31">
        <f>ROUND(R187*AB$5/1200,2)</f>
        <v>0.0</v>
      </c>
      <c r="AC188" s="31">
        <f>ROUND(S187*AC$5/1200,2)</f>
        <v>0.0</v>
      </c>
      <c r="AD188" s="31">
        <f>ROUND(T187*AD$5/1200,2)</f>
        <v>0.0</v>
      </c>
      <c r="AE188" s="31">
        <f>ROUND(U187*AE$5/1200,2)</f>
        <v>0.0</v>
      </c>
      <c r="AF188" s="31">
        <f>ROUND(V187*AF$5/1200,2)</f>
        <v>0.0</v>
      </c>
      <c r="AG188" s="31">
        <f>ROUND(W187*AG$5/1200,2)</f>
        <v>0.0</v>
      </c>
      <c r="AH188" s="31">
        <f>ROUND(X187*AH$5/1200,2)</f>
        <v>0.0</v>
      </c>
      <c r="AI188" s="31">
        <f>ROUND(Y187*AI$5/1200,2)</f>
        <v>0.0</v>
      </c>
      <c r="AJ188" s="31">
        <f>ROUND(Z187*AJ$5/1200,2)</f>
        <v>0.0</v>
      </c>
      <c r="AK188" s="31">
        <f>ROUND(AA187*AK$5/1200,2)</f>
        <v>0.0</v>
      </c>
      <c r="AL188" s="31">
        <f>MIN(AL$5,R187+AB188)</f>
        <v>0.0</v>
      </c>
      <c r="AM188" s="31">
        <f>MIN(AM$5,S187+AC188)</f>
        <v>0.0</v>
      </c>
      <c r="AN188" s="31">
        <f>MIN(AN$5,T187+AD188)</f>
        <v>0.0</v>
      </c>
      <c r="AO188" s="31">
        <f>MIN(AO$5,U187+AE188)</f>
        <v>0.0</v>
      </c>
      <c r="AP188" s="31">
        <f>MIN(AP$5,V187+AF188)</f>
        <v>0.0</v>
      </c>
      <c r="AQ188" s="31">
        <f>MIN(AQ$5,W187+AG188)</f>
        <v>0.0</v>
      </c>
      <c r="AR188" s="31">
        <f>MIN(AR$5,X187+AH188)</f>
        <v>0.0</v>
      </c>
      <c r="AS188" s="31">
        <f>MIN(AS$5,Y187+AI188)</f>
        <v>0.0</v>
      </c>
      <c r="AT188" s="31">
        <f>MIN(AT$5,Z187+AJ188)</f>
        <v>0.0</v>
      </c>
      <c r="AU188" s="31">
        <f>MIN(AU$5,AA187+AK188)</f>
        <v>0.0</v>
      </c>
    </row>
    <row r="189">
      <c r="A189" s="25" t="str">
        <f>IF(F188&gt;0.005,184,"")</f>
        <v/>
      </c>
      <c r="B189" s="33" t="str">
        <f>IF(A189="","",EDATE(Долги!$D$5,183))</f>
        <v/>
      </c>
      <c r="C189" s="31">
        <f>SUM(H189:Q189)</f>
        <v>0.0</v>
      </c>
      <c r="D189" s="31">
        <f>SUM(AB189:AK189)</f>
        <v>0.0</v>
      </c>
      <c r="E189" s="31">
        <f>C189-D189</f>
        <v>0.0</v>
      </c>
      <c r="F189" s="31">
        <f>SUM(R189:AA189)</f>
        <v>0.0</v>
      </c>
      <c r="G189" s="34" t="str">
        <f>IF(OR(A189="",$F$5&lt;=0),"",REPT("█",ROUND(20*F189/$F$5,0)))</f>
        <v/>
      </c>
      <c r="H189" s="31">
        <f>AL189+MIN(R188+AB189-AL189,MAX(0,ROUND(Долги!$D$19-SUM($AL189:$AU189),2)))</f>
        <v>0.0</v>
      </c>
      <c r="I189" s="31">
        <f>AM189+MIN(S188+AC189-AM189,MAX(0,ROUND(ROUND(Долги!$D$19-SUM($AL189:$AU189),2)-(SUM($H189:H189)-SUM($AL189:AL189)),2)))</f>
        <v>0.0</v>
      </c>
      <c r="J189" s="31">
        <f>AN189+MIN(T188+AD189-AN189,MAX(0,ROUND(ROUND(Долги!$D$19-SUM($AL189:$AU189),2)-(SUM($H189:I189)-SUM($AL189:AM189)),2)))</f>
        <v>0.0</v>
      </c>
      <c r="K189" s="31">
        <f>AO189+MIN(U188+AE189-AO189,MAX(0,ROUND(ROUND(Долги!$D$19-SUM($AL189:$AU189),2)-(SUM($H189:J189)-SUM($AL189:AN189)),2)))</f>
        <v>0.0</v>
      </c>
      <c r="L189" s="31">
        <f>AP189+MIN(V188+AF189-AP189,MAX(0,ROUND(ROUND(Долги!$D$19-SUM($AL189:$AU189),2)-(SUM($H189:K189)-SUM($AL189:AO189)),2)))</f>
        <v>0.0</v>
      </c>
      <c r="M189" s="31">
        <f>AQ189+MIN(W188+AG189-AQ189,MAX(0,ROUND(ROUND(Долги!$D$19-SUM($AL189:$AU189),2)-(SUM($H189:L189)-SUM($AL189:AP189)),2)))</f>
        <v>0.0</v>
      </c>
      <c r="N189" s="31">
        <f>AR189+MIN(X188+AH189-AR189,MAX(0,ROUND(ROUND(Долги!$D$19-SUM($AL189:$AU189),2)-(SUM($H189:M189)-SUM($AL189:AQ189)),2)))</f>
        <v>0.0</v>
      </c>
      <c r="O189" s="31">
        <f>AS189+MIN(Y188+AI189-AS189,MAX(0,ROUND(ROUND(Долги!$D$19-SUM($AL189:$AU189),2)-(SUM($H189:N189)-SUM($AL189:AR189)),2)))</f>
        <v>0.0</v>
      </c>
      <c r="P189" s="31">
        <f>AT189+MIN(Z188+AJ189-AT189,MAX(0,ROUND(ROUND(Долги!$D$19-SUM($AL189:$AU189),2)-(SUM($H189:O189)-SUM($AL189:AS189)),2)))</f>
        <v>0.0</v>
      </c>
      <c r="Q189" s="31">
        <f>AU189+MIN(AA188+AK189-AU189,MAX(0,ROUND(ROUND(Долги!$D$19-SUM($AL189:$AU189),2)-(SUM($H189:P189)-SUM($AL189:AT189)),2)))</f>
        <v>0.0</v>
      </c>
      <c r="R189" s="31">
        <f>IF(R188+AB189-H189&lt;=0.01,0,ROUND(R188+AB189-H189,2))</f>
        <v>0.0</v>
      </c>
      <c r="S189" s="31">
        <f>IF(S188+AC189-I189&lt;=0.01,0,ROUND(S188+AC189-I189,2))</f>
        <v>0.0</v>
      </c>
      <c r="T189" s="31">
        <f>IF(T188+AD189-J189&lt;=0.01,0,ROUND(T188+AD189-J189,2))</f>
        <v>0.0</v>
      </c>
      <c r="U189" s="31">
        <f>IF(U188+AE189-K189&lt;=0.01,0,ROUND(U188+AE189-K189,2))</f>
        <v>0.0</v>
      </c>
      <c r="V189" s="31">
        <f>IF(V188+AF189-L189&lt;=0.01,0,ROUND(V188+AF189-L189,2))</f>
        <v>0.0</v>
      </c>
      <c r="W189" s="31">
        <f>IF(W188+AG189-M189&lt;=0.01,0,ROUND(W188+AG189-M189,2))</f>
        <v>0.0</v>
      </c>
      <c r="X189" s="31">
        <f>IF(X188+AH189-N189&lt;=0.01,0,ROUND(X188+AH189-N189,2))</f>
        <v>0.0</v>
      </c>
      <c r="Y189" s="31">
        <f>IF(Y188+AI189-O189&lt;=0.01,0,ROUND(Y188+AI189-O189,2))</f>
        <v>0.0</v>
      </c>
      <c r="Z189" s="31">
        <f>IF(Z188+AJ189-P189&lt;=0.01,0,ROUND(Z188+AJ189-P189,2))</f>
        <v>0.0</v>
      </c>
      <c r="AA189" s="31">
        <f>IF(AA188+AK189-Q189&lt;=0.01,0,ROUND(AA188+AK189-Q189,2))</f>
        <v>0.0</v>
      </c>
      <c r="AB189" s="31">
        <f>ROUND(R188*AB$5/1200,2)</f>
        <v>0.0</v>
      </c>
      <c r="AC189" s="31">
        <f>ROUND(S188*AC$5/1200,2)</f>
        <v>0.0</v>
      </c>
      <c r="AD189" s="31">
        <f>ROUND(T188*AD$5/1200,2)</f>
        <v>0.0</v>
      </c>
      <c r="AE189" s="31">
        <f>ROUND(U188*AE$5/1200,2)</f>
        <v>0.0</v>
      </c>
      <c r="AF189" s="31">
        <f>ROUND(V188*AF$5/1200,2)</f>
        <v>0.0</v>
      </c>
      <c r="AG189" s="31">
        <f>ROUND(W188*AG$5/1200,2)</f>
        <v>0.0</v>
      </c>
      <c r="AH189" s="31">
        <f>ROUND(X188*AH$5/1200,2)</f>
        <v>0.0</v>
      </c>
      <c r="AI189" s="31">
        <f>ROUND(Y188*AI$5/1200,2)</f>
        <v>0.0</v>
      </c>
      <c r="AJ189" s="31">
        <f>ROUND(Z188*AJ$5/1200,2)</f>
        <v>0.0</v>
      </c>
      <c r="AK189" s="31">
        <f>ROUND(AA188*AK$5/1200,2)</f>
        <v>0.0</v>
      </c>
      <c r="AL189" s="31">
        <f>MIN(AL$5,R188+AB189)</f>
        <v>0.0</v>
      </c>
      <c r="AM189" s="31">
        <f>MIN(AM$5,S188+AC189)</f>
        <v>0.0</v>
      </c>
      <c r="AN189" s="31">
        <f>MIN(AN$5,T188+AD189)</f>
        <v>0.0</v>
      </c>
      <c r="AO189" s="31">
        <f>MIN(AO$5,U188+AE189)</f>
        <v>0.0</v>
      </c>
      <c r="AP189" s="31">
        <f>MIN(AP$5,V188+AF189)</f>
        <v>0.0</v>
      </c>
      <c r="AQ189" s="31">
        <f>MIN(AQ$5,W188+AG189)</f>
        <v>0.0</v>
      </c>
      <c r="AR189" s="31">
        <f>MIN(AR$5,X188+AH189)</f>
        <v>0.0</v>
      </c>
      <c r="AS189" s="31">
        <f>MIN(AS$5,Y188+AI189)</f>
        <v>0.0</v>
      </c>
      <c r="AT189" s="31">
        <f>MIN(AT$5,Z188+AJ189)</f>
        <v>0.0</v>
      </c>
      <c r="AU189" s="31">
        <f>MIN(AU$5,AA188+AK189)</f>
        <v>0.0</v>
      </c>
    </row>
    <row r="190">
      <c r="A190" s="25" t="str">
        <f>IF(F189&gt;0.005,185,"")</f>
        <v/>
      </c>
      <c r="B190" s="33" t="str">
        <f>IF(A190="","",EDATE(Долги!$D$5,184))</f>
        <v/>
      </c>
      <c r="C190" s="31">
        <f>SUM(H190:Q190)</f>
        <v>0.0</v>
      </c>
      <c r="D190" s="31">
        <f>SUM(AB190:AK190)</f>
        <v>0.0</v>
      </c>
      <c r="E190" s="31">
        <f>C190-D190</f>
        <v>0.0</v>
      </c>
      <c r="F190" s="31">
        <f>SUM(R190:AA190)</f>
        <v>0.0</v>
      </c>
      <c r="G190" s="34" t="str">
        <f>IF(OR(A190="",$F$5&lt;=0),"",REPT("█",ROUND(20*F190/$F$5,0)))</f>
        <v/>
      </c>
      <c r="H190" s="31">
        <f>AL190+MIN(R189+AB190-AL190,MAX(0,ROUND(Долги!$D$19-SUM($AL190:$AU190),2)))</f>
        <v>0.0</v>
      </c>
      <c r="I190" s="31">
        <f>AM190+MIN(S189+AC190-AM190,MAX(0,ROUND(ROUND(Долги!$D$19-SUM($AL190:$AU190),2)-(SUM($H190:H190)-SUM($AL190:AL190)),2)))</f>
        <v>0.0</v>
      </c>
      <c r="J190" s="31">
        <f>AN190+MIN(T189+AD190-AN190,MAX(0,ROUND(ROUND(Долги!$D$19-SUM($AL190:$AU190),2)-(SUM($H190:I190)-SUM($AL190:AM190)),2)))</f>
        <v>0.0</v>
      </c>
      <c r="K190" s="31">
        <f>AO190+MIN(U189+AE190-AO190,MAX(0,ROUND(ROUND(Долги!$D$19-SUM($AL190:$AU190),2)-(SUM($H190:J190)-SUM($AL190:AN190)),2)))</f>
        <v>0.0</v>
      </c>
      <c r="L190" s="31">
        <f>AP190+MIN(V189+AF190-AP190,MAX(0,ROUND(ROUND(Долги!$D$19-SUM($AL190:$AU190),2)-(SUM($H190:K190)-SUM($AL190:AO190)),2)))</f>
        <v>0.0</v>
      </c>
      <c r="M190" s="31">
        <f>AQ190+MIN(W189+AG190-AQ190,MAX(0,ROUND(ROUND(Долги!$D$19-SUM($AL190:$AU190),2)-(SUM($H190:L190)-SUM($AL190:AP190)),2)))</f>
        <v>0.0</v>
      </c>
      <c r="N190" s="31">
        <f>AR190+MIN(X189+AH190-AR190,MAX(0,ROUND(ROUND(Долги!$D$19-SUM($AL190:$AU190),2)-(SUM($H190:M190)-SUM($AL190:AQ190)),2)))</f>
        <v>0.0</v>
      </c>
      <c r="O190" s="31">
        <f>AS190+MIN(Y189+AI190-AS190,MAX(0,ROUND(ROUND(Долги!$D$19-SUM($AL190:$AU190),2)-(SUM($H190:N190)-SUM($AL190:AR190)),2)))</f>
        <v>0.0</v>
      </c>
      <c r="P190" s="31">
        <f>AT190+MIN(Z189+AJ190-AT190,MAX(0,ROUND(ROUND(Долги!$D$19-SUM($AL190:$AU190),2)-(SUM($H190:O190)-SUM($AL190:AS190)),2)))</f>
        <v>0.0</v>
      </c>
      <c r="Q190" s="31">
        <f>AU190+MIN(AA189+AK190-AU190,MAX(0,ROUND(ROUND(Долги!$D$19-SUM($AL190:$AU190),2)-(SUM($H190:P190)-SUM($AL190:AT190)),2)))</f>
        <v>0.0</v>
      </c>
      <c r="R190" s="31">
        <f>IF(R189+AB190-H190&lt;=0.01,0,ROUND(R189+AB190-H190,2))</f>
        <v>0.0</v>
      </c>
      <c r="S190" s="31">
        <f>IF(S189+AC190-I190&lt;=0.01,0,ROUND(S189+AC190-I190,2))</f>
        <v>0.0</v>
      </c>
      <c r="T190" s="31">
        <f>IF(T189+AD190-J190&lt;=0.01,0,ROUND(T189+AD190-J190,2))</f>
        <v>0.0</v>
      </c>
      <c r="U190" s="31">
        <f>IF(U189+AE190-K190&lt;=0.01,0,ROUND(U189+AE190-K190,2))</f>
        <v>0.0</v>
      </c>
      <c r="V190" s="31">
        <f>IF(V189+AF190-L190&lt;=0.01,0,ROUND(V189+AF190-L190,2))</f>
        <v>0.0</v>
      </c>
      <c r="W190" s="31">
        <f>IF(W189+AG190-M190&lt;=0.01,0,ROUND(W189+AG190-M190,2))</f>
        <v>0.0</v>
      </c>
      <c r="X190" s="31">
        <f>IF(X189+AH190-N190&lt;=0.01,0,ROUND(X189+AH190-N190,2))</f>
        <v>0.0</v>
      </c>
      <c r="Y190" s="31">
        <f>IF(Y189+AI190-O190&lt;=0.01,0,ROUND(Y189+AI190-O190,2))</f>
        <v>0.0</v>
      </c>
      <c r="Z190" s="31">
        <f>IF(Z189+AJ190-P190&lt;=0.01,0,ROUND(Z189+AJ190-P190,2))</f>
        <v>0.0</v>
      </c>
      <c r="AA190" s="31">
        <f>IF(AA189+AK190-Q190&lt;=0.01,0,ROUND(AA189+AK190-Q190,2))</f>
        <v>0.0</v>
      </c>
      <c r="AB190" s="31">
        <f>ROUND(R189*AB$5/1200,2)</f>
        <v>0.0</v>
      </c>
      <c r="AC190" s="31">
        <f>ROUND(S189*AC$5/1200,2)</f>
        <v>0.0</v>
      </c>
      <c r="AD190" s="31">
        <f>ROUND(T189*AD$5/1200,2)</f>
        <v>0.0</v>
      </c>
      <c r="AE190" s="31">
        <f>ROUND(U189*AE$5/1200,2)</f>
        <v>0.0</v>
      </c>
      <c r="AF190" s="31">
        <f>ROUND(V189*AF$5/1200,2)</f>
        <v>0.0</v>
      </c>
      <c r="AG190" s="31">
        <f>ROUND(W189*AG$5/1200,2)</f>
        <v>0.0</v>
      </c>
      <c r="AH190" s="31">
        <f>ROUND(X189*AH$5/1200,2)</f>
        <v>0.0</v>
      </c>
      <c r="AI190" s="31">
        <f>ROUND(Y189*AI$5/1200,2)</f>
        <v>0.0</v>
      </c>
      <c r="AJ190" s="31">
        <f>ROUND(Z189*AJ$5/1200,2)</f>
        <v>0.0</v>
      </c>
      <c r="AK190" s="31">
        <f>ROUND(AA189*AK$5/1200,2)</f>
        <v>0.0</v>
      </c>
      <c r="AL190" s="31">
        <f>MIN(AL$5,R189+AB190)</f>
        <v>0.0</v>
      </c>
      <c r="AM190" s="31">
        <f>MIN(AM$5,S189+AC190)</f>
        <v>0.0</v>
      </c>
      <c r="AN190" s="31">
        <f>MIN(AN$5,T189+AD190)</f>
        <v>0.0</v>
      </c>
      <c r="AO190" s="31">
        <f>MIN(AO$5,U189+AE190)</f>
        <v>0.0</v>
      </c>
      <c r="AP190" s="31">
        <f>MIN(AP$5,V189+AF190)</f>
        <v>0.0</v>
      </c>
      <c r="AQ190" s="31">
        <f>MIN(AQ$5,W189+AG190)</f>
        <v>0.0</v>
      </c>
      <c r="AR190" s="31">
        <f>MIN(AR$5,X189+AH190)</f>
        <v>0.0</v>
      </c>
      <c r="AS190" s="31">
        <f>MIN(AS$5,Y189+AI190)</f>
        <v>0.0</v>
      </c>
      <c r="AT190" s="31">
        <f>MIN(AT$5,Z189+AJ190)</f>
        <v>0.0</v>
      </c>
      <c r="AU190" s="31">
        <f>MIN(AU$5,AA189+AK190)</f>
        <v>0.0</v>
      </c>
    </row>
    <row r="191">
      <c r="A191" s="25" t="str">
        <f>IF(F190&gt;0.005,186,"")</f>
        <v/>
      </c>
      <c r="B191" s="33" t="str">
        <f>IF(A191="","",EDATE(Долги!$D$5,185))</f>
        <v/>
      </c>
      <c r="C191" s="31">
        <f>SUM(H191:Q191)</f>
        <v>0.0</v>
      </c>
      <c r="D191" s="31">
        <f>SUM(AB191:AK191)</f>
        <v>0.0</v>
      </c>
      <c r="E191" s="31">
        <f>C191-D191</f>
        <v>0.0</v>
      </c>
      <c r="F191" s="31">
        <f>SUM(R191:AA191)</f>
        <v>0.0</v>
      </c>
      <c r="G191" s="34" t="str">
        <f>IF(OR(A191="",$F$5&lt;=0),"",REPT("█",ROUND(20*F191/$F$5,0)))</f>
        <v/>
      </c>
      <c r="H191" s="31">
        <f>AL191+MIN(R190+AB191-AL191,MAX(0,ROUND(Долги!$D$19-SUM($AL191:$AU191),2)))</f>
        <v>0.0</v>
      </c>
      <c r="I191" s="31">
        <f>AM191+MIN(S190+AC191-AM191,MAX(0,ROUND(ROUND(Долги!$D$19-SUM($AL191:$AU191),2)-(SUM($H191:H191)-SUM($AL191:AL191)),2)))</f>
        <v>0.0</v>
      </c>
      <c r="J191" s="31">
        <f>AN191+MIN(T190+AD191-AN191,MAX(0,ROUND(ROUND(Долги!$D$19-SUM($AL191:$AU191),2)-(SUM($H191:I191)-SUM($AL191:AM191)),2)))</f>
        <v>0.0</v>
      </c>
      <c r="K191" s="31">
        <f>AO191+MIN(U190+AE191-AO191,MAX(0,ROUND(ROUND(Долги!$D$19-SUM($AL191:$AU191),2)-(SUM($H191:J191)-SUM($AL191:AN191)),2)))</f>
        <v>0.0</v>
      </c>
      <c r="L191" s="31">
        <f>AP191+MIN(V190+AF191-AP191,MAX(0,ROUND(ROUND(Долги!$D$19-SUM($AL191:$AU191),2)-(SUM($H191:K191)-SUM($AL191:AO191)),2)))</f>
        <v>0.0</v>
      </c>
      <c r="M191" s="31">
        <f>AQ191+MIN(W190+AG191-AQ191,MAX(0,ROUND(ROUND(Долги!$D$19-SUM($AL191:$AU191),2)-(SUM($H191:L191)-SUM($AL191:AP191)),2)))</f>
        <v>0.0</v>
      </c>
      <c r="N191" s="31">
        <f>AR191+MIN(X190+AH191-AR191,MAX(0,ROUND(ROUND(Долги!$D$19-SUM($AL191:$AU191),2)-(SUM($H191:M191)-SUM($AL191:AQ191)),2)))</f>
        <v>0.0</v>
      </c>
      <c r="O191" s="31">
        <f>AS191+MIN(Y190+AI191-AS191,MAX(0,ROUND(ROUND(Долги!$D$19-SUM($AL191:$AU191),2)-(SUM($H191:N191)-SUM($AL191:AR191)),2)))</f>
        <v>0.0</v>
      </c>
      <c r="P191" s="31">
        <f>AT191+MIN(Z190+AJ191-AT191,MAX(0,ROUND(ROUND(Долги!$D$19-SUM($AL191:$AU191),2)-(SUM($H191:O191)-SUM($AL191:AS191)),2)))</f>
        <v>0.0</v>
      </c>
      <c r="Q191" s="31">
        <f>AU191+MIN(AA190+AK191-AU191,MAX(0,ROUND(ROUND(Долги!$D$19-SUM($AL191:$AU191),2)-(SUM($H191:P191)-SUM($AL191:AT191)),2)))</f>
        <v>0.0</v>
      </c>
      <c r="R191" s="31">
        <f>IF(R190+AB191-H191&lt;=0.01,0,ROUND(R190+AB191-H191,2))</f>
        <v>0.0</v>
      </c>
      <c r="S191" s="31">
        <f>IF(S190+AC191-I191&lt;=0.01,0,ROUND(S190+AC191-I191,2))</f>
        <v>0.0</v>
      </c>
      <c r="T191" s="31">
        <f>IF(T190+AD191-J191&lt;=0.01,0,ROUND(T190+AD191-J191,2))</f>
        <v>0.0</v>
      </c>
      <c r="U191" s="31">
        <f>IF(U190+AE191-K191&lt;=0.01,0,ROUND(U190+AE191-K191,2))</f>
        <v>0.0</v>
      </c>
      <c r="V191" s="31">
        <f>IF(V190+AF191-L191&lt;=0.01,0,ROUND(V190+AF191-L191,2))</f>
        <v>0.0</v>
      </c>
      <c r="W191" s="31">
        <f>IF(W190+AG191-M191&lt;=0.01,0,ROUND(W190+AG191-M191,2))</f>
        <v>0.0</v>
      </c>
      <c r="X191" s="31">
        <f>IF(X190+AH191-N191&lt;=0.01,0,ROUND(X190+AH191-N191,2))</f>
        <v>0.0</v>
      </c>
      <c r="Y191" s="31">
        <f>IF(Y190+AI191-O191&lt;=0.01,0,ROUND(Y190+AI191-O191,2))</f>
        <v>0.0</v>
      </c>
      <c r="Z191" s="31">
        <f>IF(Z190+AJ191-P191&lt;=0.01,0,ROUND(Z190+AJ191-P191,2))</f>
        <v>0.0</v>
      </c>
      <c r="AA191" s="31">
        <f>IF(AA190+AK191-Q191&lt;=0.01,0,ROUND(AA190+AK191-Q191,2))</f>
        <v>0.0</v>
      </c>
      <c r="AB191" s="31">
        <f>ROUND(R190*AB$5/1200,2)</f>
        <v>0.0</v>
      </c>
      <c r="AC191" s="31">
        <f>ROUND(S190*AC$5/1200,2)</f>
        <v>0.0</v>
      </c>
      <c r="AD191" s="31">
        <f>ROUND(T190*AD$5/1200,2)</f>
        <v>0.0</v>
      </c>
      <c r="AE191" s="31">
        <f>ROUND(U190*AE$5/1200,2)</f>
        <v>0.0</v>
      </c>
      <c r="AF191" s="31">
        <f>ROUND(V190*AF$5/1200,2)</f>
        <v>0.0</v>
      </c>
      <c r="AG191" s="31">
        <f>ROUND(W190*AG$5/1200,2)</f>
        <v>0.0</v>
      </c>
      <c r="AH191" s="31">
        <f>ROUND(X190*AH$5/1200,2)</f>
        <v>0.0</v>
      </c>
      <c r="AI191" s="31">
        <f>ROUND(Y190*AI$5/1200,2)</f>
        <v>0.0</v>
      </c>
      <c r="AJ191" s="31">
        <f>ROUND(Z190*AJ$5/1200,2)</f>
        <v>0.0</v>
      </c>
      <c r="AK191" s="31">
        <f>ROUND(AA190*AK$5/1200,2)</f>
        <v>0.0</v>
      </c>
      <c r="AL191" s="31">
        <f>MIN(AL$5,R190+AB191)</f>
        <v>0.0</v>
      </c>
      <c r="AM191" s="31">
        <f>MIN(AM$5,S190+AC191)</f>
        <v>0.0</v>
      </c>
      <c r="AN191" s="31">
        <f>MIN(AN$5,T190+AD191)</f>
        <v>0.0</v>
      </c>
      <c r="AO191" s="31">
        <f>MIN(AO$5,U190+AE191)</f>
        <v>0.0</v>
      </c>
      <c r="AP191" s="31">
        <f>MIN(AP$5,V190+AF191)</f>
        <v>0.0</v>
      </c>
      <c r="AQ191" s="31">
        <f>MIN(AQ$5,W190+AG191)</f>
        <v>0.0</v>
      </c>
      <c r="AR191" s="31">
        <f>MIN(AR$5,X190+AH191)</f>
        <v>0.0</v>
      </c>
      <c r="AS191" s="31">
        <f>MIN(AS$5,Y190+AI191)</f>
        <v>0.0</v>
      </c>
      <c r="AT191" s="31">
        <f>MIN(AT$5,Z190+AJ191)</f>
        <v>0.0</v>
      </c>
      <c r="AU191" s="31">
        <f>MIN(AU$5,AA190+AK191)</f>
        <v>0.0</v>
      </c>
    </row>
    <row r="192">
      <c r="A192" s="25" t="str">
        <f>IF(F191&gt;0.005,187,"")</f>
        <v/>
      </c>
      <c r="B192" s="33" t="str">
        <f>IF(A192="","",EDATE(Долги!$D$5,186))</f>
        <v/>
      </c>
      <c r="C192" s="31">
        <f>SUM(H192:Q192)</f>
        <v>0.0</v>
      </c>
      <c r="D192" s="31">
        <f>SUM(AB192:AK192)</f>
        <v>0.0</v>
      </c>
      <c r="E192" s="31">
        <f>C192-D192</f>
        <v>0.0</v>
      </c>
      <c r="F192" s="31">
        <f>SUM(R192:AA192)</f>
        <v>0.0</v>
      </c>
      <c r="G192" s="34" t="str">
        <f>IF(OR(A192="",$F$5&lt;=0),"",REPT("█",ROUND(20*F192/$F$5,0)))</f>
        <v/>
      </c>
      <c r="H192" s="31">
        <f>AL192+MIN(R191+AB192-AL192,MAX(0,ROUND(Долги!$D$19-SUM($AL192:$AU192),2)))</f>
        <v>0.0</v>
      </c>
      <c r="I192" s="31">
        <f>AM192+MIN(S191+AC192-AM192,MAX(0,ROUND(ROUND(Долги!$D$19-SUM($AL192:$AU192),2)-(SUM($H192:H192)-SUM($AL192:AL192)),2)))</f>
        <v>0.0</v>
      </c>
      <c r="J192" s="31">
        <f>AN192+MIN(T191+AD192-AN192,MAX(0,ROUND(ROUND(Долги!$D$19-SUM($AL192:$AU192),2)-(SUM($H192:I192)-SUM($AL192:AM192)),2)))</f>
        <v>0.0</v>
      </c>
      <c r="K192" s="31">
        <f>AO192+MIN(U191+AE192-AO192,MAX(0,ROUND(ROUND(Долги!$D$19-SUM($AL192:$AU192),2)-(SUM($H192:J192)-SUM($AL192:AN192)),2)))</f>
        <v>0.0</v>
      </c>
      <c r="L192" s="31">
        <f>AP192+MIN(V191+AF192-AP192,MAX(0,ROUND(ROUND(Долги!$D$19-SUM($AL192:$AU192),2)-(SUM($H192:K192)-SUM($AL192:AO192)),2)))</f>
        <v>0.0</v>
      </c>
      <c r="M192" s="31">
        <f>AQ192+MIN(W191+AG192-AQ192,MAX(0,ROUND(ROUND(Долги!$D$19-SUM($AL192:$AU192),2)-(SUM($H192:L192)-SUM($AL192:AP192)),2)))</f>
        <v>0.0</v>
      </c>
      <c r="N192" s="31">
        <f>AR192+MIN(X191+AH192-AR192,MAX(0,ROUND(ROUND(Долги!$D$19-SUM($AL192:$AU192),2)-(SUM($H192:M192)-SUM($AL192:AQ192)),2)))</f>
        <v>0.0</v>
      </c>
      <c r="O192" s="31">
        <f>AS192+MIN(Y191+AI192-AS192,MAX(0,ROUND(ROUND(Долги!$D$19-SUM($AL192:$AU192),2)-(SUM($H192:N192)-SUM($AL192:AR192)),2)))</f>
        <v>0.0</v>
      </c>
      <c r="P192" s="31">
        <f>AT192+MIN(Z191+AJ192-AT192,MAX(0,ROUND(ROUND(Долги!$D$19-SUM($AL192:$AU192),2)-(SUM($H192:O192)-SUM($AL192:AS192)),2)))</f>
        <v>0.0</v>
      </c>
      <c r="Q192" s="31">
        <f>AU192+MIN(AA191+AK192-AU192,MAX(0,ROUND(ROUND(Долги!$D$19-SUM($AL192:$AU192),2)-(SUM($H192:P192)-SUM($AL192:AT192)),2)))</f>
        <v>0.0</v>
      </c>
      <c r="R192" s="31">
        <f>IF(R191+AB192-H192&lt;=0.01,0,ROUND(R191+AB192-H192,2))</f>
        <v>0.0</v>
      </c>
      <c r="S192" s="31">
        <f>IF(S191+AC192-I192&lt;=0.01,0,ROUND(S191+AC192-I192,2))</f>
        <v>0.0</v>
      </c>
      <c r="T192" s="31">
        <f>IF(T191+AD192-J192&lt;=0.01,0,ROUND(T191+AD192-J192,2))</f>
        <v>0.0</v>
      </c>
      <c r="U192" s="31">
        <f>IF(U191+AE192-K192&lt;=0.01,0,ROUND(U191+AE192-K192,2))</f>
        <v>0.0</v>
      </c>
      <c r="V192" s="31">
        <f>IF(V191+AF192-L192&lt;=0.01,0,ROUND(V191+AF192-L192,2))</f>
        <v>0.0</v>
      </c>
      <c r="W192" s="31">
        <f>IF(W191+AG192-M192&lt;=0.01,0,ROUND(W191+AG192-M192,2))</f>
        <v>0.0</v>
      </c>
      <c r="X192" s="31">
        <f>IF(X191+AH192-N192&lt;=0.01,0,ROUND(X191+AH192-N192,2))</f>
        <v>0.0</v>
      </c>
      <c r="Y192" s="31">
        <f>IF(Y191+AI192-O192&lt;=0.01,0,ROUND(Y191+AI192-O192,2))</f>
        <v>0.0</v>
      </c>
      <c r="Z192" s="31">
        <f>IF(Z191+AJ192-P192&lt;=0.01,0,ROUND(Z191+AJ192-P192,2))</f>
        <v>0.0</v>
      </c>
      <c r="AA192" s="31">
        <f>IF(AA191+AK192-Q192&lt;=0.01,0,ROUND(AA191+AK192-Q192,2))</f>
        <v>0.0</v>
      </c>
      <c r="AB192" s="31">
        <f>ROUND(R191*AB$5/1200,2)</f>
        <v>0.0</v>
      </c>
      <c r="AC192" s="31">
        <f>ROUND(S191*AC$5/1200,2)</f>
        <v>0.0</v>
      </c>
      <c r="AD192" s="31">
        <f>ROUND(T191*AD$5/1200,2)</f>
        <v>0.0</v>
      </c>
      <c r="AE192" s="31">
        <f>ROUND(U191*AE$5/1200,2)</f>
        <v>0.0</v>
      </c>
      <c r="AF192" s="31">
        <f>ROUND(V191*AF$5/1200,2)</f>
        <v>0.0</v>
      </c>
      <c r="AG192" s="31">
        <f>ROUND(W191*AG$5/1200,2)</f>
        <v>0.0</v>
      </c>
      <c r="AH192" s="31">
        <f>ROUND(X191*AH$5/1200,2)</f>
        <v>0.0</v>
      </c>
      <c r="AI192" s="31">
        <f>ROUND(Y191*AI$5/1200,2)</f>
        <v>0.0</v>
      </c>
      <c r="AJ192" s="31">
        <f>ROUND(Z191*AJ$5/1200,2)</f>
        <v>0.0</v>
      </c>
      <c r="AK192" s="31">
        <f>ROUND(AA191*AK$5/1200,2)</f>
        <v>0.0</v>
      </c>
      <c r="AL192" s="31">
        <f>MIN(AL$5,R191+AB192)</f>
        <v>0.0</v>
      </c>
      <c r="AM192" s="31">
        <f>MIN(AM$5,S191+AC192)</f>
        <v>0.0</v>
      </c>
      <c r="AN192" s="31">
        <f>MIN(AN$5,T191+AD192)</f>
        <v>0.0</v>
      </c>
      <c r="AO192" s="31">
        <f>MIN(AO$5,U191+AE192)</f>
        <v>0.0</v>
      </c>
      <c r="AP192" s="31">
        <f>MIN(AP$5,V191+AF192)</f>
        <v>0.0</v>
      </c>
      <c r="AQ192" s="31">
        <f>MIN(AQ$5,W191+AG192)</f>
        <v>0.0</v>
      </c>
      <c r="AR192" s="31">
        <f>MIN(AR$5,X191+AH192)</f>
        <v>0.0</v>
      </c>
      <c r="AS192" s="31">
        <f>MIN(AS$5,Y191+AI192)</f>
        <v>0.0</v>
      </c>
      <c r="AT192" s="31">
        <f>MIN(AT$5,Z191+AJ192)</f>
        <v>0.0</v>
      </c>
      <c r="AU192" s="31">
        <f>MIN(AU$5,AA191+AK192)</f>
        <v>0.0</v>
      </c>
    </row>
    <row r="193">
      <c r="A193" s="25" t="str">
        <f>IF(F192&gt;0.005,188,"")</f>
        <v/>
      </c>
      <c r="B193" s="33" t="str">
        <f>IF(A193="","",EDATE(Долги!$D$5,187))</f>
        <v/>
      </c>
      <c r="C193" s="31">
        <f>SUM(H193:Q193)</f>
        <v>0.0</v>
      </c>
      <c r="D193" s="31">
        <f>SUM(AB193:AK193)</f>
        <v>0.0</v>
      </c>
      <c r="E193" s="31">
        <f>C193-D193</f>
        <v>0.0</v>
      </c>
      <c r="F193" s="31">
        <f>SUM(R193:AA193)</f>
        <v>0.0</v>
      </c>
      <c r="G193" s="34" t="str">
        <f>IF(OR(A193="",$F$5&lt;=0),"",REPT("█",ROUND(20*F193/$F$5,0)))</f>
        <v/>
      </c>
      <c r="H193" s="31">
        <f>AL193+MIN(R192+AB193-AL193,MAX(0,ROUND(Долги!$D$19-SUM($AL193:$AU193),2)))</f>
        <v>0.0</v>
      </c>
      <c r="I193" s="31">
        <f>AM193+MIN(S192+AC193-AM193,MAX(0,ROUND(ROUND(Долги!$D$19-SUM($AL193:$AU193),2)-(SUM($H193:H193)-SUM($AL193:AL193)),2)))</f>
        <v>0.0</v>
      </c>
      <c r="J193" s="31">
        <f>AN193+MIN(T192+AD193-AN193,MAX(0,ROUND(ROUND(Долги!$D$19-SUM($AL193:$AU193),2)-(SUM($H193:I193)-SUM($AL193:AM193)),2)))</f>
        <v>0.0</v>
      </c>
      <c r="K193" s="31">
        <f>AO193+MIN(U192+AE193-AO193,MAX(0,ROUND(ROUND(Долги!$D$19-SUM($AL193:$AU193),2)-(SUM($H193:J193)-SUM($AL193:AN193)),2)))</f>
        <v>0.0</v>
      </c>
      <c r="L193" s="31">
        <f>AP193+MIN(V192+AF193-AP193,MAX(0,ROUND(ROUND(Долги!$D$19-SUM($AL193:$AU193),2)-(SUM($H193:K193)-SUM($AL193:AO193)),2)))</f>
        <v>0.0</v>
      </c>
      <c r="M193" s="31">
        <f>AQ193+MIN(W192+AG193-AQ193,MAX(0,ROUND(ROUND(Долги!$D$19-SUM($AL193:$AU193),2)-(SUM($H193:L193)-SUM($AL193:AP193)),2)))</f>
        <v>0.0</v>
      </c>
      <c r="N193" s="31">
        <f>AR193+MIN(X192+AH193-AR193,MAX(0,ROUND(ROUND(Долги!$D$19-SUM($AL193:$AU193),2)-(SUM($H193:M193)-SUM($AL193:AQ193)),2)))</f>
        <v>0.0</v>
      </c>
      <c r="O193" s="31">
        <f>AS193+MIN(Y192+AI193-AS193,MAX(0,ROUND(ROUND(Долги!$D$19-SUM($AL193:$AU193),2)-(SUM($H193:N193)-SUM($AL193:AR193)),2)))</f>
        <v>0.0</v>
      </c>
      <c r="P193" s="31">
        <f>AT193+MIN(Z192+AJ193-AT193,MAX(0,ROUND(ROUND(Долги!$D$19-SUM($AL193:$AU193),2)-(SUM($H193:O193)-SUM($AL193:AS193)),2)))</f>
        <v>0.0</v>
      </c>
      <c r="Q193" s="31">
        <f>AU193+MIN(AA192+AK193-AU193,MAX(0,ROUND(ROUND(Долги!$D$19-SUM($AL193:$AU193),2)-(SUM($H193:P193)-SUM($AL193:AT193)),2)))</f>
        <v>0.0</v>
      </c>
      <c r="R193" s="31">
        <f>IF(R192+AB193-H193&lt;=0.01,0,ROUND(R192+AB193-H193,2))</f>
        <v>0.0</v>
      </c>
      <c r="S193" s="31">
        <f>IF(S192+AC193-I193&lt;=0.01,0,ROUND(S192+AC193-I193,2))</f>
        <v>0.0</v>
      </c>
      <c r="T193" s="31">
        <f>IF(T192+AD193-J193&lt;=0.01,0,ROUND(T192+AD193-J193,2))</f>
        <v>0.0</v>
      </c>
      <c r="U193" s="31">
        <f>IF(U192+AE193-K193&lt;=0.01,0,ROUND(U192+AE193-K193,2))</f>
        <v>0.0</v>
      </c>
      <c r="V193" s="31">
        <f>IF(V192+AF193-L193&lt;=0.01,0,ROUND(V192+AF193-L193,2))</f>
        <v>0.0</v>
      </c>
      <c r="W193" s="31">
        <f>IF(W192+AG193-M193&lt;=0.01,0,ROUND(W192+AG193-M193,2))</f>
        <v>0.0</v>
      </c>
      <c r="X193" s="31">
        <f>IF(X192+AH193-N193&lt;=0.01,0,ROUND(X192+AH193-N193,2))</f>
        <v>0.0</v>
      </c>
      <c r="Y193" s="31">
        <f>IF(Y192+AI193-O193&lt;=0.01,0,ROUND(Y192+AI193-O193,2))</f>
        <v>0.0</v>
      </c>
      <c r="Z193" s="31">
        <f>IF(Z192+AJ193-P193&lt;=0.01,0,ROUND(Z192+AJ193-P193,2))</f>
        <v>0.0</v>
      </c>
      <c r="AA193" s="31">
        <f>IF(AA192+AK193-Q193&lt;=0.01,0,ROUND(AA192+AK193-Q193,2))</f>
        <v>0.0</v>
      </c>
      <c r="AB193" s="31">
        <f>ROUND(R192*AB$5/1200,2)</f>
        <v>0.0</v>
      </c>
      <c r="AC193" s="31">
        <f>ROUND(S192*AC$5/1200,2)</f>
        <v>0.0</v>
      </c>
      <c r="AD193" s="31">
        <f>ROUND(T192*AD$5/1200,2)</f>
        <v>0.0</v>
      </c>
      <c r="AE193" s="31">
        <f>ROUND(U192*AE$5/1200,2)</f>
        <v>0.0</v>
      </c>
      <c r="AF193" s="31">
        <f>ROUND(V192*AF$5/1200,2)</f>
        <v>0.0</v>
      </c>
      <c r="AG193" s="31">
        <f>ROUND(W192*AG$5/1200,2)</f>
        <v>0.0</v>
      </c>
      <c r="AH193" s="31">
        <f>ROUND(X192*AH$5/1200,2)</f>
        <v>0.0</v>
      </c>
      <c r="AI193" s="31">
        <f>ROUND(Y192*AI$5/1200,2)</f>
        <v>0.0</v>
      </c>
      <c r="AJ193" s="31">
        <f>ROUND(Z192*AJ$5/1200,2)</f>
        <v>0.0</v>
      </c>
      <c r="AK193" s="31">
        <f>ROUND(AA192*AK$5/1200,2)</f>
        <v>0.0</v>
      </c>
      <c r="AL193" s="31">
        <f>MIN(AL$5,R192+AB193)</f>
        <v>0.0</v>
      </c>
      <c r="AM193" s="31">
        <f>MIN(AM$5,S192+AC193)</f>
        <v>0.0</v>
      </c>
      <c r="AN193" s="31">
        <f>MIN(AN$5,T192+AD193)</f>
        <v>0.0</v>
      </c>
      <c r="AO193" s="31">
        <f>MIN(AO$5,U192+AE193)</f>
        <v>0.0</v>
      </c>
      <c r="AP193" s="31">
        <f>MIN(AP$5,V192+AF193)</f>
        <v>0.0</v>
      </c>
      <c r="AQ193" s="31">
        <f>MIN(AQ$5,W192+AG193)</f>
        <v>0.0</v>
      </c>
      <c r="AR193" s="31">
        <f>MIN(AR$5,X192+AH193)</f>
        <v>0.0</v>
      </c>
      <c r="AS193" s="31">
        <f>MIN(AS$5,Y192+AI193)</f>
        <v>0.0</v>
      </c>
      <c r="AT193" s="31">
        <f>MIN(AT$5,Z192+AJ193)</f>
        <v>0.0</v>
      </c>
      <c r="AU193" s="31">
        <f>MIN(AU$5,AA192+AK193)</f>
        <v>0.0</v>
      </c>
    </row>
    <row r="194">
      <c r="A194" s="25" t="str">
        <f>IF(F193&gt;0.005,189,"")</f>
        <v/>
      </c>
      <c r="B194" s="33" t="str">
        <f>IF(A194="","",EDATE(Долги!$D$5,188))</f>
        <v/>
      </c>
      <c r="C194" s="31">
        <f>SUM(H194:Q194)</f>
        <v>0.0</v>
      </c>
      <c r="D194" s="31">
        <f>SUM(AB194:AK194)</f>
        <v>0.0</v>
      </c>
      <c r="E194" s="31">
        <f>C194-D194</f>
        <v>0.0</v>
      </c>
      <c r="F194" s="31">
        <f>SUM(R194:AA194)</f>
        <v>0.0</v>
      </c>
      <c r="G194" s="34" t="str">
        <f>IF(OR(A194="",$F$5&lt;=0),"",REPT("█",ROUND(20*F194/$F$5,0)))</f>
        <v/>
      </c>
      <c r="H194" s="31">
        <f>AL194+MIN(R193+AB194-AL194,MAX(0,ROUND(Долги!$D$19-SUM($AL194:$AU194),2)))</f>
        <v>0.0</v>
      </c>
      <c r="I194" s="31">
        <f>AM194+MIN(S193+AC194-AM194,MAX(0,ROUND(ROUND(Долги!$D$19-SUM($AL194:$AU194),2)-(SUM($H194:H194)-SUM($AL194:AL194)),2)))</f>
        <v>0.0</v>
      </c>
      <c r="J194" s="31">
        <f>AN194+MIN(T193+AD194-AN194,MAX(0,ROUND(ROUND(Долги!$D$19-SUM($AL194:$AU194),2)-(SUM($H194:I194)-SUM($AL194:AM194)),2)))</f>
        <v>0.0</v>
      </c>
      <c r="K194" s="31">
        <f>AO194+MIN(U193+AE194-AO194,MAX(0,ROUND(ROUND(Долги!$D$19-SUM($AL194:$AU194),2)-(SUM($H194:J194)-SUM($AL194:AN194)),2)))</f>
        <v>0.0</v>
      </c>
      <c r="L194" s="31">
        <f>AP194+MIN(V193+AF194-AP194,MAX(0,ROUND(ROUND(Долги!$D$19-SUM($AL194:$AU194),2)-(SUM($H194:K194)-SUM($AL194:AO194)),2)))</f>
        <v>0.0</v>
      </c>
      <c r="M194" s="31">
        <f>AQ194+MIN(W193+AG194-AQ194,MAX(0,ROUND(ROUND(Долги!$D$19-SUM($AL194:$AU194),2)-(SUM($H194:L194)-SUM($AL194:AP194)),2)))</f>
        <v>0.0</v>
      </c>
      <c r="N194" s="31">
        <f>AR194+MIN(X193+AH194-AR194,MAX(0,ROUND(ROUND(Долги!$D$19-SUM($AL194:$AU194),2)-(SUM($H194:M194)-SUM($AL194:AQ194)),2)))</f>
        <v>0.0</v>
      </c>
      <c r="O194" s="31">
        <f>AS194+MIN(Y193+AI194-AS194,MAX(0,ROUND(ROUND(Долги!$D$19-SUM($AL194:$AU194),2)-(SUM($H194:N194)-SUM($AL194:AR194)),2)))</f>
        <v>0.0</v>
      </c>
      <c r="P194" s="31">
        <f>AT194+MIN(Z193+AJ194-AT194,MAX(0,ROUND(ROUND(Долги!$D$19-SUM($AL194:$AU194),2)-(SUM($H194:O194)-SUM($AL194:AS194)),2)))</f>
        <v>0.0</v>
      </c>
      <c r="Q194" s="31">
        <f>AU194+MIN(AA193+AK194-AU194,MAX(0,ROUND(ROUND(Долги!$D$19-SUM($AL194:$AU194),2)-(SUM($H194:P194)-SUM($AL194:AT194)),2)))</f>
        <v>0.0</v>
      </c>
      <c r="R194" s="31">
        <f>IF(R193+AB194-H194&lt;=0.01,0,ROUND(R193+AB194-H194,2))</f>
        <v>0.0</v>
      </c>
      <c r="S194" s="31">
        <f>IF(S193+AC194-I194&lt;=0.01,0,ROUND(S193+AC194-I194,2))</f>
        <v>0.0</v>
      </c>
      <c r="T194" s="31">
        <f>IF(T193+AD194-J194&lt;=0.01,0,ROUND(T193+AD194-J194,2))</f>
        <v>0.0</v>
      </c>
      <c r="U194" s="31">
        <f>IF(U193+AE194-K194&lt;=0.01,0,ROUND(U193+AE194-K194,2))</f>
        <v>0.0</v>
      </c>
      <c r="V194" s="31">
        <f>IF(V193+AF194-L194&lt;=0.01,0,ROUND(V193+AF194-L194,2))</f>
        <v>0.0</v>
      </c>
      <c r="W194" s="31">
        <f>IF(W193+AG194-M194&lt;=0.01,0,ROUND(W193+AG194-M194,2))</f>
        <v>0.0</v>
      </c>
      <c r="X194" s="31">
        <f>IF(X193+AH194-N194&lt;=0.01,0,ROUND(X193+AH194-N194,2))</f>
        <v>0.0</v>
      </c>
      <c r="Y194" s="31">
        <f>IF(Y193+AI194-O194&lt;=0.01,0,ROUND(Y193+AI194-O194,2))</f>
        <v>0.0</v>
      </c>
      <c r="Z194" s="31">
        <f>IF(Z193+AJ194-P194&lt;=0.01,0,ROUND(Z193+AJ194-P194,2))</f>
        <v>0.0</v>
      </c>
      <c r="AA194" s="31">
        <f>IF(AA193+AK194-Q194&lt;=0.01,0,ROUND(AA193+AK194-Q194,2))</f>
        <v>0.0</v>
      </c>
      <c r="AB194" s="31">
        <f>ROUND(R193*AB$5/1200,2)</f>
        <v>0.0</v>
      </c>
      <c r="AC194" s="31">
        <f>ROUND(S193*AC$5/1200,2)</f>
        <v>0.0</v>
      </c>
      <c r="AD194" s="31">
        <f>ROUND(T193*AD$5/1200,2)</f>
        <v>0.0</v>
      </c>
      <c r="AE194" s="31">
        <f>ROUND(U193*AE$5/1200,2)</f>
        <v>0.0</v>
      </c>
      <c r="AF194" s="31">
        <f>ROUND(V193*AF$5/1200,2)</f>
        <v>0.0</v>
      </c>
      <c r="AG194" s="31">
        <f>ROUND(W193*AG$5/1200,2)</f>
        <v>0.0</v>
      </c>
      <c r="AH194" s="31">
        <f>ROUND(X193*AH$5/1200,2)</f>
        <v>0.0</v>
      </c>
      <c r="AI194" s="31">
        <f>ROUND(Y193*AI$5/1200,2)</f>
        <v>0.0</v>
      </c>
      <c r="AJ194" s="31">
        <f>ROUND(Z193*AJ$5/1200,2)</f>
        <v>0.0</v>
      </c>
      <c r="AK194" s="31">
        <f>ROUND(AA193*AK$5/1200,2)</f>
        <v>0.0</v>
      </c>
      <c r="AL194" s="31">
        <f>MIN(AL$5,R193+AB194)</f>
        <v>0.0</v>
      </c>
      <c r="AM194" s="31">
        <f>MIN(AM$5,S193+AC194)</f>
        <v>0.0</v>
      </c>
      <c r="AN194" s="31">
        <f>MIN(AN$5,T193+AD194)</f>
        <v>0.0</v>
      </c>
      <c r="AO194" s="31">
        <f>MIN(AO$5,U193+AE194)</f>
        <v>0.0</v>
      </c>
      <c r="AP194" s="31">
        <f>MIN(AP$5,V193+AF194)</f>
        <v>0.0</v>
      </c>
      <c r="AQ194" s="31">
        <f>MIN(AQ$5,W193+AG194)</f>
        <v>0.0</v>
      </c>
      <c r="AR194" s="31">
        <f>MIN(AR$5,X193+AH194)</f>
        <v>0.0</v>
      </c>
      <c r="AS194" s="31">
        <f>MIN(AS$5,Y193+AI194)</f>
        <v>0.0</v>
      </c>
      <c r="AT194" s="31">
        <f>MIN(AT$5,Z193+AJ194)</f>
        <v>0.0</v>
      </c>
      <c r="AU194" s="31">
        <f>MIN(AU$5,AA193+AK194)</f>
        <v>0.0</v>
      </c>
    </row>
    <row r="195">
      <c r="A195" s="25" t="str">
        <f>IF(F194&gt;0.005,190,"")</f>
        <v/>
      </c>
      <c r="B195" s="33" t="str">
        <f>IF(A195="","",EDATE(Долги!$D$5,189))</f>
        <v/>
      </c>
      <c r="C195" s="31">
        <f>SUM(H195:Q195)</f>
        <v>0.0</v>
      </c>
      <c r="D195" s="31">
        <f>SUM(AB195:AK195)</f>
        <v>0.0</v>
      </c>
      <c r="E195" s="31">
        <f>C195-D195</f>
        <v>0.0</v>
      </c>
      <c r="F195" s="31">
        <f>SUM(R195:AA195)</f>
        <v>0.0</v>
      </c>
      <c r="G195" s="34" t="str">
        <f>IF(OR(A195="",$F$5&lt;=0),"",REPT("█",ROUND(20*F195/$F$5,0)))</f>
        <v/>
      </c>
      <c r="H195" s="31">
        <f>AL195+MIN(R194+AB195-AL195,MAX(0,ROUND(Долги!$D$19-SUM($AL195:$AU195),2)))</f>
        <v>0.0</v>
      </c>
      <c r="I195" s="31">
        <f>AM195+MIN(S194+AC195-AM195,MAX(0,ROUND(ROUND(Долги!$D$19-SUM($AL195:$AU195),2)-(SUM($H195:H195)-SUM($AL195:AL195)),2)))</f>
        <v>0.0</v>
      </c>
      <c r="J195" s="31">
        <f>AN195+MIN(T194+AD195-AN195,MAX(0,ROUND(ROUND(Долги!$D$19-SUM($AL195:$AU195),2)-(SUM($H195:I195)-SUM($AL195:AM195)),2)))</f>
        <v>0.0</v>
      </c>
      <c r="K195" s="31">
        <f>AO195+MIN(U194+AE195-AO195,MAX(0,ROUND(ROUND(Долги!$D$19-SUM($AL195:$AU195),2)-(SUM($H195:J195)-SUM($AL195:AN195)),2)))</f>
        <v>0.0</v>
      </c>
      <c r="L195" s="31">
        <f>AP195+MIN(V194+AF195-AP195,MAX(0,ROUND(ROUND(Долги!$D$19-SUM($AL195:$AU195),2)-(SUM($H195:K195)-SUM($AL195:AO195)),2)))</f>
        <v>0.0</v>
      </c>
      <c r="M195" s="31">
        <f>AQ195+MIN(W194+AG195-AQ195,MAX(0,ROUND(ROUND(Долги!$D$19-SUM($AL195:$AU195),2)-(SUM($H195:L195)-SUM($AL195:AP195)),2)))</f>
        <v>0.0</v>
      </c>
      <c r="N195" s="31">
        <f>AR195+MIN(X194+AH195-AR195,MAX(0,ROUND(ROUND(Долги!$D$19-SUM($AL195:$AU195),2)-(SUM($H195:M195)-SUM($AL195:AQ195)),2)))</f>
        <v>0.0</v>
      </c>
      <c r="O195" s="31">
        <f>AS195+MIN(Y194+AI195-AS195,MAX(0,ROUND(ROUND(Долги!$D$19-SUM($AL195:$AU195),2)-(SUM($H195:N195)-SUM($AL195:AR195)),2)))</f>
        <v>0.0</v>
      </c>
      <c r="P195" s="31">
        <f>AT195+MIN(Z194+AJ195-AT195,MAX(0,ROUND(ROUND(Долги!$D$19-SUM($AL195:$AU195),2)-(SUM($H195:O195)-SUM($AL195:AS195)),2)))</f>
        <v>0.0</v>
      </c>
      <c r="Q195" s="31">
        <f>AU195+MIN(AA194+AK195-AU195,MAX(0,ROUND(ROUND(Долги!$D$19-SUM($AL195:$AU195),2)-(SUM($H195:P195)-SUM($AL195:AT195)),2)))</f>
        <v>0.0</v>
      </c>
      <c r="R195" s="31">
        <f>IF(R194+AB195-H195&lt;=0.01,0,ROUND(R194+AB195-H195,2))</f>
        <v>0.0</v>
      </c>
      <c r="S195" s="31">
        <f>IF(S194+AC195-I195&lt;=0.01,0,ROUND(S194+AC195-I195,2))</f>
        <v>0.0</v>
      </c>
      <c r="T195" s="31">
        <f>IF(T194+AD195-J195&lt;=0.01,0,ROUND(T194+AD195-J195,2))</f>
        <v>0.0</v>
      </c>
      <c r="U195" s="31">
        <f>IF(U194+AE195-K195&lt;=0.01,0,ROUND(U194+AE195-K195,2))</f>
        <v>0.0</v>
      </c>
      <c r="V195" s="31">
        <f>IF(V194+AF195-L195&lt;=0.01,0,ROUND(V194+AF195-L195,2))</f>
        <v>0.0</v>
      </c>
      <c r="W195" s="31">
        <f>IF(W194+AG195-M195&lt;=0.01,0,ROUND(W194+AG195-M195,2))</f>
        <v>0.0</v>
      </c>
      <c r="X195" s="31">
        <f>IF(X194+AH195-N195&lt;=0.01,0,ROUND(X194+AH195-N195,2))</f>
        <v>0.0</v>
      </c>
      <c r="Y195" s="31">
        <f>IF(Y194+AI195-O195&lt;=0.01,0,ROUND(Y194+AI195-O195,2))</f>
        <v>0.0</v>
      </c>
      <c r="Z195" s="31">
        <f>IF(Z194+AJ195-P195&lt;=0.01,0,ROUND(Z194+AJ195-P195,2))</f>
        <v>0.0</v>
      </c>
      <c r="AA195" s="31">
        <f>IF(AA194+AK195-Q195&lt;=0.01,0,ROUND(AA194+AK195-Q195,2))</f>
        <v>0.0</v>
      </c>
      <c r="AB195" s="31">
        <f>ROUND(R194*AB$5/1200,2)</f>
        <v>0.0</v>
      </c>
      <c r="AC195" s="31">
        <f>ROUND(S194*AC$5/1200,2)</f>
        <v>0.0</v>
      </c>
      <c r="AD195" s="31">
        <f>ROUND(T194*AD$5/1200,2)</f>
        <v>0.0</v>
      </c>
      <c r="AE195" s="31">
        <f>ROUND(U194*AE$5/1200,2)</f>
        <v>0.0</v>
      </c>
      <c r="AF195" s="31">
        <f>ROUND(V194*AF$5/1200,2)</f>
        <v>0.0</v>
      </c>
      <c r="AG195" s="31">
        <f>ROUND(W194*AG$5/1200,2)</f>
        <v>0.0</v>
      </c>
      <c r="AH195" s="31">
        <f>ROUND(X194*AH$5/1200,2)</f>
        <v>0.0</v>
      </c>
      <c r="AI195" s="31">
        <f>ROUND(Y194*AI$5/1200,2)</f>
        <v>0.0</v>
      </c>
      <c r="AJ195" s="31">
        <f>ROUND(Z194*AJ$5/1200,2)</f>
        <v>0.0</v>
      </c>
      <c r="AK195" s="31">
        <f>ROUND(AA194*AK$5/1200,2)</f>
        <v>0.0</v>
      </c>
      <c r="AL195" s="31">
        <f>MIN(AL$5,R194+AB195)</f>
        <v>0.0</v>
      </c>
      <c r="AM195" s="31">
        <f>MIN(AM$5,S194+AC195)</f>
        <v>0.0</v>
      </c>
      <c r="AN195" s="31">
        <f>MIN(AN$5,T194+AD195)</f>
        <v>0.0</v>
      </c>
      <c r="AO195" s="31">
        <f>MIN(AO$5,U194+AE195)</f>
        <v>0.0</v>
      </c>
      <c r="AP195" s="31">
        <f>MIN(AP$5,V194+AF195)</f>
        <v>0.0</v>
      </c>
      <c r="AQ195" s="31">
        <f>MIN(AQ$5,W194+AG195)</f>
        <v>0.0</v>
      </c>
      <c r="AR195" s="31">
        <f>MIN(AR$5,X194+AH195)</f>
        <v>0.0</v>
      </c>
      <c r="AS195" s="31">
        <f>MIN(AS$5,Y194+AI195)</f>
        <v>0.0</v>
      </c>
      <c r="AT195" s="31">
        <f>MIN(AT$5,Z194+AJ195)</f>
        <v>0.0</v>
      </c>
      <c r="AU195" s="31">
        <f>MIN(AU$5,AA194+AK195)</f>
        <v>0.0</v>
      </c>
    </row>
    <row r="196">
      <c r="A196" s="25" t="str">
        <f>IF(F195&gt;0.005,191,"")</f>
        <v/>
      </c>
      <c r="B196" s="33" t="str">
        <f>IF(A196="","",EDATE(Долги!$D$5,190))</f>
        <v/>
      </c>
      <c r="C196" s="31">
        <f>SUM(H196:Q196)</f>
        <v>0.0</v>
      </c>
      <c r="D196" s="31">
        <f>SUM(AB196:AK196)</f>
        <v>0.0</v>
      </c>
      <c r="E196" s="31">
        <f>C196-D196</f>
        <v>0.0</v>
      </c>
      <c r="F196" s="31">
        <f>SUM(R196:AA196)</f>
        <v>0.0</v>
      </c>
      <c r="G196" s="34" t="str">
        <f>IF(OR(A196="",$F$5&lt;=0),"",REPT("█",ROUND(20*F196/$F$5,0)))</f>
        <v/>
      </c>
      <c r="H196" s="31">
        <f>AL196+MIN(R195+AB196-AL196,MAX(0,ROUND(Долги!$D$19-SUM($AL196:$AU196),2)))</f>
        <v>0.0</v>
      </c>
      <c r="I196" s="31">
        <f>AM196+MIN(S195+AC196-AM196,MAX(0,ROUND(ROUND(Долги!$D$19-SUM($AL196:$AU196),2)-(SUM($H196:H196)-SUM($AL196:AL196)),2)))</f>
        <v>0.0</v>
      </c>
      <c r="J196" s="31">
        <f>AN196+MIN(T195+AD196-AN196,MAX(0,ROUND(ROUND(Долги!$D$19-SUM($AL196:$AU196),2)-(SUM($H196:I196)-SUM($AL196:AM196)),2)))</f>
        <v>0.0</v>
      </c>
      <c r="K196" s="31">
        <f>AO196+MIN(U195+AE196-AO196,MAX(0,ROUND(ROUND(Долги!$D$19-SUM($AL196:$AU196),2)-(SUM($H196:J196)-SUM($AL196:AN196)),2)))</f>
        <v>0.0</v>
      </c>
      <c r="L196" s="31">
        <f>AP196+MIN(V195+AF196-AP196,MAX(0,ROUND(ROUND(Долги!$D$19-SUM($AL196:$AU196),2)-(SUM($H196:K196)-SUM($AL196:AO196)),2)))</f>
        <v>0.0</v>
      </c>
      <c r="M196" s="31">
        <f>AQ196+MIN(W195+AG196-AQ196,MAX(0,ROUND(ROUND(Долги!$D$19-SUM($AL196:$AU196),2)-(SUM($H196:L196)-SUM($AL196:AP196)),2)))</f>
        <v>0.0</v>
      </c>
      <c r="N196" s="31">
        <f>AR196+MIN(X195+AH196-AR196,MAX(0,ROUND(ROUND(Долги!$D$19-SUM($AL196:$AU196),2)-(SUM($H196:M196)-SUM($AL196:AQ196)),2)))</f>
        <v>0.0</v>
      </c>
      <c r="O196" s="31">
        <f>AS196+MIN(Y195+AI196-AS196,MAX(0,ROUND(ROUND(Долги!$D$19-SUM($AL196:$AU196),2)-(SUM($H196:N196)-SUM($AL196:AR196)),2)))</f>
        <v>0.0</v>
      </c>
      <c r="P196" s="31">
        <f>AT196+MIN(Z195+AJ196-AT196,MAX(0,ROUND(ROUND(Долги!$D$19-SUM($AL196:$AU196),2)-(SUM($H196:O196)-SUM($AL196:AS196)),2)))</f>
        <v>0.0</v>
      </c>
      <c r="Q196" s="31">
        <f>AU196+MIN(AA195+AK196-AU196,MAX(0,ROUND(ROUND(Долги!$D$19-SUM($AL196:$AU196),2)-(SUM($H196:P196)-SUM($AL196:AT196)),2)))</f>
        <v>0.0</v>
      </c>
      <c r="R196" s="31">
        <f>IF(R195+AB196-H196&lt;=0.01,0,ROUND(R195+AB196-H196,2))</f>
        <v>0.0</v>
      </c>
      <c r="S196" s="31">
        <f>IF(S195+AC196-I196&lt;=0.01,0,ROUND(S195+AC196-I196,2))</f>
        <v>0.0</v>
      </c>
      <c r="T196" s="31">
        <f>IF(T195+AD196-J196&lt;=0.01,0,ROUND(T195+AD196-J196,2))</f>
        <v>0.0</v>
      </c>
      <c r="U196" s="31">
        <f>IF(U195+AE196-K196&lt;=0.01,0,ROUND(U195+AE196-K196,2))</f>
        <v>0.0</v>
      </c>
      <c r="V196" s="31">
        <f>IF(V195+AF196-L196&lt;=0.01,0,ROUND(V195+AF196-L196,2))</f>
        <v>0.0</v>
      </c>
      <c r="W196" s="31">
        <f>IF(W195+AG196-M196&lt;=0.01,0,ROUND(W195+AG196-M196,2))</f>
        <v>0.0</v>
      </c>
      <c r="X196" s="31">
        <f>IF(X195+AH196-N196&lt;=0.01,0,ROUND(X195+AH196-N196,2))</f>
        <v>0.0</v>
      </c>
      <c r="Y196" s="31">
        <f>IF(Y195+AI196-O196&lt;=0.01,0,ROUND(Y195+AI196-O196,2))</f>
        <v>0.0</v>
      </c>
      <c r="Z196" s="31">
        <f>IF(Z195+AJ196-P196&lt;=0.01,0,ROUND(Z195+AJ196-P196,2))</f>
        <v>0.0</v>
      </c>
      <c r="AA196" s="31">
        <f>IF(AA195+AK196-Q196&lt;=0.01,0,ROUND(AA195+AK196-Q196,2))</f>
        <v>0.0</v>
      </c>
      <c r="AB196" s="31">
        <f>ROUND(R195*AB$5/1200,2)</f>
        <v>0.0</v>
      </c>
      <c r="AC196" s="31">
        <f>ROUND(S195*AC$5/1200,2)</f>
        <v>0.0</v>
      </c>
      <c r="AD196" s="31">
        <f>ROUND(T195*AD$5/1200,2)</f>
        <v>0.0</v>
      </c>
      <c r="AE196" s="31">
        <f>ROUND(U195*AE$5/1200,2)</f>
        <v>0.0</v>
      </c>
      <c r="AF196" s="31">
        <f>ROUND(V195*AF$5/1200,2)</f>
        <v>0.0</v>
      </c>
      <c r="AG196" s="31">
        <f>ROUND(W195*AG$5/1200,2)</f>
        <v>0.0</v>
      </c>
      <c r="AH196" s="31">
        <f>ROUND(X195*AH$5/1200,2)</f>
        <v>0.0</v>
      </c>
      <c r="AI196" s="31">
        <f>ROUND(Y195*AI$5/1200,2)</f>
        <v>0.0</v>
      </c>
      <c r="AJ196" s="31">
        <f>ROUND(Z195*AJ$5/1200,2)</f>
        <v>0.0</v>
      </c>
      <c r="AK196" s="31">
        <f>ROUND(AA195*AK$5/1200,2)</f>
        <v>0.0</v>
      </c>
      <c r="AL196" s="31">
        <f>MIN(AL$5,R195+AB196)</f>
        <v>0.0</v>
      </c>
      <c r="AM196" s="31">
        <f>MIN(AM$5,S195+AC196)</f>
        <v>0.0</v>
      </c>
      <c r="AN196" s="31">
        <f>MIN(AN$5,T195+AD196)</f>
        <v>0.0</v>
      </c>
      <c r="AO196" s="31">
        <f>MIN(AO$5,U195+AE196)</f>
        <v>0.0</v>
      </c>
      <c r="AP196" s="31">
        <f>MIN(AP$5,V195+AF196)</f>
        <v>0.0</v>
      </c>
      <c r="AQ196" s="31">
        <f>MIN(AQ$5,W195+AG196)</f>
        <v>0.0</v>
      </c>
      <c r="AR196" s="31">
        <f>MIN(AR$5,X195+AH196)</f>
        <v>0.0</v>
      </c>
      <c r="AS196" s="31">
        <f>MIN(AS$5,Y195+AI196)</f>
        <v>0.0</v>
      </c>
      <c r="AT196" s="31">
        <f>MIN(AT$5,Z195+AJ196)</f>
        <v>0.0</v>
      </c>
      <c r="AU196" s="31">
        <f>MIN(AU$5,AA195+AK196)</f>
        <v>0.0</v>
      </c>
    </row>
    <row r="197">
      <c r="A197" s="25" t="str">
        <f>IF(F196&gt;0.005,192,"")</f>
        <v/>
      </c>
      <c r="B197" s="33" t="str">
        <f>IF(A197="","",EDATE(Долги!$D$5,191))</f>
        <v/>
      </c>
      <c r="C197" s="31">
        <f>SUM(H197:Q197)</f>
        <v>0.0</v>
      </c>
      <c r="D197" s="31">
        <f>SUM(AB197:AK197)</f>
        <v>0.0</v>
      </c>
      <c r="E197" s="31">
        <f>C197-D197</f>
        <v>0.0</v>
      </c>
      <c r="F197" s="31">
        <f>SUM(R197:AA197)</f>
        <v>0.0</v>
      </c>
      <c r="G197" s="34" t="str">
        <f>IF(OR(A197="",$F$5&lt;=0),"",REPT("█",ROUND(20*F197/$F$5,0)))</f>
        <v/>
      </c>
      <c r="H197" s="31">
        <f>AL197+MIN(R196+AB197-AL197,MAX(0,ROUND(Долги!$D$19-SUM($AL197:$AU197),2)))</f>
        <v>0.0</v>
      </c>
      <c r="I197" s="31">
        <f>AM197+MIN(S196+AC197-AM197,MAX(0,ROUND(ROUND(Долги!$D$19-SUM($AL197:$AU197),2)-(SUM($H197:H197)-SUM($AL197:AL197)),2)))</f>
        <v>0.0</v>
      </c>
      <c r="J197" s="31">
        <f>AN197+MIN(T196+AD197-AN197,MAX(0,ROUND(ROUND(Долги!$D$19-SUM($AL197:$AU197),2)-(SUM($H197:I197)-SUM($AL197:AM197)),2)))</f>
        <v>0.0</v>
      </c>
      <c r="K197" s="31">
        <f>AO197+MIN(U196+AE197-AO197,MAX(0,ROUND(ROUND(Долги!$D$19-SUM($AL197:$AU197),2)-(SUM($H197:J197)-SUM($AL197:AN197)),2)))</f>
        <v>0.0</v>
      </c>
      <c r="L197" s="31">
        <f>AP197+MIN(V196+AF197-AP197,MAX(0,ROUND(ROUND(Долги!$D$19-SUM($AL197:$AU197),2)-(SUM($H197:K197)-SUM($AL197:AO197)),2)))</f>
        <v>0.0</v>
      </c>
      <c r="M197" s="31">
        <f>AQ197+MIN(W196+AG197-AQ197,MAX(0,ROUND(ROUND(Долги!$D$19-SUM($AL197:$AU197),2)-(SUM($H197:L197)-SUM($AL197:AP197)),2)))</f>
        <v>0.0</v>
      </c>
      <c r="N197" s="31">
        <f>AR197+MIN(X196+AH197-AR197,MAX(0,ROUND(ROUND(Долги!$D$19-SUM($AL197:$AU197),2)-(SUM($H197:M197)-SUM($AL197:AQ197)),2)))</f>
        <v>0.0</v>
      </c>
      <c r="O197" s="31">
        <f>AS197+MIN(Y196+AI197-AS197,MAX(0,ROUND(ROUND(Долги!$D$19-SUM($AL197:$AU197),2)-(SUM($H197:N197)-SUM($AL197:AR197)),2)))</f>
        <v>0.0</v>
      </c>
      <c r="P197" s="31">
        <f>AT197+MIN(Z196+AJ197-AT197,MAX(0,ROUND(ROUND(Долги!$D$19-SUM($AL197:$AU197),2)-(SUM($H197:O197)-SUM($AL197:AS197)),2)))</f>
        <v>0.0</v>
      </c>
      <c r="Q197" s="31">
        <f>AU197+MIN(AA196+AK197-AU197,MAX(0,ROUND(ROUND(Долги!$D$19-SUM($AL197:$AU197),2)-(SUM($H197:P197)-SUM($AL197:AT197)),2)))</f>
        <v>0.0</v>
      </c>
      <c r="R197" s="31">
        <f>IF(R196+AB197-H197&lt;=0.01,0,ROUND(R196+AB197-H197,2))</f>
        <v>0.0</v>
      </c>
      <c r="S197" s="31">
        <f>IF(S196+AC197-I197&lt;=0.01,0,ROUND(S196+AC197-I197,2))</f>
        <v>0.0</v>
      </c>
      <c r="T197" s="31">
        <f>IF(T196+AD197-J197&lt;=0.01,0,ROUND(T196+AD197-J197,2))</f>
        <v>0.0</v>
      </c>
      <c r="U197" s="31">
        <f>IF(U196+AE197-K197&lt;=0.01,0,ROUND(U196+AE197-K197,2))</f>
        <v>0.0</v>
      </c>
      <c r="V197" s="31">
        <f>IF(V196+AF197-L197&lt;=0.01,0,ROUND(V196+AF197-L197,2))</f>
        <v>0.0</v>
      </c>
      <c r="W197" s="31">
        <f>IF(W196+AG197-M197&lt;=0.01,0,ROUND(W196+AG197-M197,2))</f>
        <v>0.0</v>
      </c>
      <c r="X197" s="31">
        <f>IF(X196+AH197-N197&lt;=0.01,0,ROUND(X196+AH197-N197,2))</f>
        <v>0.0</v>
      </c>
      <c r="Y197" s="31">
        <f>IF(Y196+AI197-O197&lt;=0.01,0,ROUND(Y196+AI197-O197,2))</f>
        <v>0.0</v>
      </c>
      <c r="Z197" s="31">
        <f>IF(Z196+AJ197-P197&lt;=0.01,0,ROUND(Z196+AJ197-P197,2))</f>
        <v>0.0</v>
      </c>
      <c r="AA197" s="31">
        <f>IF(AA196+AK197-Q197&lt;=0.01,0,ROUND(AA196+AK197-Q197,2))</f>
        <v>0.0</v>
      </c>
      <c r="AB197" s="31">
        <f>ROUND(R196*AB$5/1200,2)</f>
        <v>0.0</v>
      </c>
      <c r="AC197" s="31">
        <f>ROUND(S196*AC$5/1200,2)</f>
        <v>0.0</v>
      </c>
      <c r="AD197" s="31">
        <f>ROUND(T196*AD$5/1200,2)</f>
        <v>0.0</v>
      </c>
      <c r="AE197" s="31">
        <f>ROUND(U196*AE$5/1200,2)</f>
        <v>0.0</v>
      </c>
      <c r="AF197" s="31">
        <f>ROUND(V196*AF$5/1200,2)</f>
        <v>0.0</v>
      </c>
      <c r="AG197" s="31">
        <f>ROUND(W196*AG$5/1200,2)</f>
        <v>0.0</v>
      </c>
      <c r="AH197" s="31">
        <f>ROUND(X196*AH$5/1200,2)</f>
        <v>0.0</v>
      </c>
      <c r="AI197" s="31">
        <f>ROUND(Y196*AI$5/1200,2)</f>
        <v>0.0</v>
      </c>
      <c r="AJ197" s="31">
        <f>ROUND(Z196*AJ$5/1200,2)</f>
        <v>0.0</v>
      </c>
      <c r="AK197" s="31">
        <f>ROUND(AA196*AK$5/1200,2)</f>
        <v>0.0</v>
      </c>
      <c r="AL197" s="31">
        <f>MIN(AL$5,R196+AB197)</f>
        <v>0.0</v>
      </c>
      <c r="AM197" s="31">
        <f>MIN(AM$5,S196+AC197)</f>
        <v>0.0</v>
      </c>
      <c r="AN197" s="31">
        <f>MIN(AN$5,T196+AD197)</f>
        <v>0.0</v>
      </c>
      <c r="AO197" s="31">
        <f>MIN(AO$5,U196+AE197)</f>
        <v>0.0</v>
      </c>
      <c r="AP197" s="31">
        <f>MIN(AP$5,V196+AF197)</f>
        <v>0.0</v>
      </c>
      <c r="AQ197" s="31">
        <f>MIN(AQ$5,W196+AG197)</f>
        <v>0.0</v>
      </c>
      <c r="AR197" s="31">
        <f>MIN(AR$5,X196+AH197)</f>
        <v>0.0</v>
      </c>
      <c r="AS197" s="31">
        <f>MIN(AS$5,Y196+AI197)</f>
        <v>0.0</v>
      </c>
      <c r="AT197" s="31">
        <f>MIN(AT$5,Z196+AJ197)</f>
        <v>0.0</v>
      </c>
      <c r="AU197" s="31">
        <f>MIN(AU$5,AA196+AK197)</f>
        <v>0.0</v>
      </c>
    </row>
    <row r="198">
      <c r="A198" s="25" t="str">
        <f>IF(F197&gt;0.005,193,"")</f>
        <v/>
      </c>
      <c r="B198" s="33" t="str">
        <f>IF(A198="","",EDATE(Долги!$D$5,192))</f>
        <v/>
      </c>
      <c r="C198" s="31">
        <f>SUM(H198:Q198)</f>
        <v>0.0</v>
      </c>
      <c r="D198" s="31">
        <f>SUM(AB198:AK198)</f>
        <v>0.0</v>
      </c>
      <c r="E198" s="31">
        <f>C198-D198</f>
        <v>0.0</v>
      </c>
      <c r="F198" s="31">
        <f>SUM(R198:AA198)</f>
        <v>0.0</v>
      </c>
      <c r="G198" s="34" t="str">
        <f>IF(OR(A198="",$F$5&lt;=0),"",REPT("█",ROUND(20*F198/$F$5,0)))</f>
        <v/>
      </c>
      <c r="H198" s="31">
        <f>AL198+MIN(R197+AB198-AL198,MAX(0,ROUND(Долги!$D$19-SUM($AL198:$AU198),2)))</f>
        <v>0.0</v>
      </c>
      <c r="I198" s="31">
        <f>AM198+MIN(S197+AC198-AM198,MAX(0,ROUND(ROUND(Долги!$D$19-SUM($AL198:$AU198),2)-(SUM($H198:H198)-SUM($AL198:AL198)),2)))</f>
        <v>0.0</v>
      </c>
      <c r="J198" s="31">
        <f>AN198+MIN(T197+AD198-AN198,MAX(0,ROUND(ROUND(Долги!$D$19-SUM($AL198:$AU198),2)-(SUM($H198:I198)-SUM($AL198:AM198)),2)))</f>
        <v>0.0</v>
      </c>
      <c r="K198" s="31">
        <f>AO198+MIN(U197+AE198-AO198,MAX(0,ROUND(ROUND(Долги!$D$19-SUM($AL198:$AU198),2)-(SUM($H198:J198)-SUM($AL198:AN198)),2)))</f>
        <v>0.0</v>
      </c>
      <c r="L198" s="31">
        <f>AP198+MIN(V197+AF198-AP198,MAX(0,ROUND(ROUND(Долги!$D$19-SUM($AL198:$AU198),2)-(SUM($H198:K198)-SUM($AL198:AO198)),2)))</f>
        <v>0.0</v>
      </c>
      <c r="M198" s="31">
        <f>AQ198+MIN(W197+AG198-AQ198,MAX(0,ROUND(ROUND(Долги!$D$19-SUM($AL198:$AU198),2)-(SUM($H198:L198)-SUM($AL198:AP198)),2)))</f>
        <v>0.0</v>
      </c>
      <c r="N198" s="31">
        <f>AR198+MIN(X197+AH198-AR198,MAX(0,ROUND(ROUND(Долги!$D$19-SUM($AL198:$AU198),2)-(SUM($H198:M198)-SUM($AL198:AQ198)),2)))</f>
        <v>0.0</v>
      </c>
      <c r="O198" s="31">
        <f>AS198+MIN(Y197+AI198-AS198,MAX(0,ROUND(ROUND(Долги!$D$19-SUM($AL198:$AU198),2)-(SUM($H198:N198)-SUM($AL198:AR198)),2)))</f>
        <v>0.0</v>
      </c>
      <c r="P198" s="31">
        <f>AT198+MIN(Z197+AJ198-AT198,MAX(0,ROUND(ROUND(Долги!$D$19-SUM($AL198:$AU198),2)-(SUM($H198:O198)-SUM($AL198:AS198)),2)))</f>
        <v>0.0</v>
      </c>
      <c r="Q198" s="31">
        <f>AU198+MIN(AA197+AK198-AU198,MAX(0,ROUND(ROUND(Долги!$D$19-SUM($AL198:$AU198),2)-(SUM($H198:P198)-SUM($AL198:AT198)),2)))</f>
        <v>0.0</v>
      </c>
      <c r="R198" s="31">
        <f>IF(R197+AB198-H198&lt;=0.01,0,ROUND(R197+AB198-H198,2))</f>
        <v>0.0</v>
      </c>
      <c r="S198" s="31">
        <f>IF(S197+AC198-I198&lt;=0.01,0,ROUND(S197+AC198-I198,2))</f>
        <v>0.0</v>
      </c>
      <c r="T198" s="31">
        <f>IF(T197+AD198-J198&lt;=0.01,0,ROUND(T197+AD198-J198,2))</f>
        <v>0.0</v>
      </c>
      <c r="U198" s="31">
        <f>IF(U197+AE198-K198&lt;=0.01,0,ROUND(U197+AE198-K198,2))</f>
        <v>0.0</v>
      </c>
      <c r="V198" s="31">
        <f>IF(V197+AF198-L198&lt;=0.01,0,ROUND(V197+AF198-L198,2))</f>
        <v>0.0</v>
      </c>
      <c r="W198" s="31">
        <f>IF(W197+AG198-M198&lt;=0.01,0,ROUND(W197+AG198-M198,2))</f>
        <v>0.0</v>
      </c>
      <c r="X198" s="31">
        <f>IF(X197+AH198-N198&lt;=0.01,0,ROUND(X197+AH198-N198,2))</f>
        <v>0.0</v>
      </c>
      <c r="Y198" s="31">
        <f>IF(Y197+AI198-O198&lt;=0.01,0,ROUND(Y197+AI198-O198,2))</f>
        <v>0.0</v>
      </c>
      <c r="Z198" s="31">
        <f>IF(Z197+AJ198-P198&lt;=0.01,0,ROUND(Z197+AJ198-P198,2))</f>
        <v>0.0</v>
      </c>
      <c r="AA198" s="31">
        <f>IF(AA197+AK198-Q198&lt;=0.01,0,ROUND(AA197+AK198-Q198,2))</f>
        <v>0.0</v>
      </c>
      <c r="AB198" s="31">
        <f>ROUND(R197*AB$5/1200,2)</f>
        <v>0.0</v>
      </c>
      <c r="AC198" s="31">
        <f>ROUND(S197*AC$5/1200,2)</f>
        <v>0.0</v>
      </c>
      <c r="AD198" s="31">
        <f>ROUND(T197*AD$5/1200,2)</f>
        <v>0.0</v>
      </c>
      <c r="AE198" s="31">
        <f>ROUND(U197*AE$5/1200,2)</f>
        <v>0.0</v>
      </c>
      <c r="AF198" s="31">
        <f>ROUND(V197*AF$5/1200,2)</f>
        <v>0.0</v>
      </c>
      <c r="AG198" s="31">
        <f>ROUND(W197*AG$5/1200,2)</f>
        <v>0.0</v>
      </c>
      <c r="AH198" s="31">
        <f>ROUND(X197*AH$5/1200,2)</f>
        <v>0.0</v>
      </c>
      <c r="AI198" s="31">
        <f>ROUND(Y197*AI$5/1200,2)</f>
        <v>0.0</v>
      </c>
      <c r="AJ198" s="31">
        <f>ROUND(Z197*AJ$5/1200,2)</f>
        <v>0.0</v>
      </c>
      <c r="AK198" s="31">
        <f>ROUND(AA197*AK$5/1200,2)</f>
        <v>0.0</v>
      </c>
      <c r="AL198" s="31">
        <f>MIN(AL$5,R197+AB198)</f>
        <v>0.0</v>
      </c>
      <c r="AM198" s="31">
        <f>MIN(AM$5,S197+AC198)</f>
        <v>0.0</v>
      </c>
      <c r="AN198" s="31">
        <f>MIN(AN$5,T197+AD198)</f>
        <v>0.0</v>
      </c>
      <c r="AO198" s="31">
        <f>MIN(AO$5,U197+AE198)</f>
        <v>0.0</v>
      </c>
      <c r="AP198" s="31">
        <f>MIN(AP$5,V197+AF198)</f>
        <v>0.0</v>
      </c>
      <c r="AQ198" s="31">
        <f>MIN(AQ$5,W197+AG198)</f>
        <v>0.0</v>
      </c>
      <c r="AR198" s="31">
        <f>MIN(AR$5,X197+AH198)</f>
        <v>0.0</v>
      </c>
      <c r="AS198" s="31">
        <f>MIN(AS$5,Y197+AI198)</f>
        <v>0.0</v>
      </c>
      <c r="AT198" s="31">
        <f>MIN(AT$5,Z197+AJ198)</f>
        <v>0.0</v>
      </c>
      <c r="AU198" s="31">
        <f>MIN(AU$5,AA197+AK198)</f>
        <v>0.0</v>
      </c>
    </row>
    <row r="199">
      <c r="A199" s="25" t="str">
        <f>IF(F198&gt;0.005,194,"")</f>
        <v/>
      </c>
      <c r="B199" s="33" t="str">
        <f>IF(A199="","",EDATE(Долги!$D$5,193))</f>
        <v/>
      </c>
      <c r="C199" s="31">
        <f>SUM(H199:Q199)</f>
        <v>0.0</v>
      </c>
      <c r="D199" s="31">
        <f>SUM(AB199:AK199)</f>
        <v>0.0</v>
      </c>
      <c r="E199" s="31">
        <f>C199-D199</f>
        <v>0.0</v>
      </c>
      <c r="F199" s="31">
        <f>SUM(R199:AA199)</f>
        <v>0.0</v>
      </c>
      <c r="G199" s="34" t="str">
        <f>IF(OR(A199="",$F$5&lt;=0),"",REPT("█",ROUND(20*F199/$F$5,0)))</f>
        <v/>
      </c>
      <c r="H199" s="31">
        <f>AL199+MIN(R198+AB199-AL199,MAX(0,ROUND(Долги!$D$19-SUM($AL199:$AU199),2)))</f>
        <v>0.0</v>
      </c>
      <c r="I199" s="31">
        <f>AM199+MIN(S198+AC199-AM199,MAX(0,ROUND(ROUND(Долги!$D$19-SUM($AL199:$AU199),2)-(SUM($H199:H199)-SUM($AL199:AL199)),2)))</f>
        <v>0.0</v>
      </c>
      <c r="J199" s="31">
        <f>AN199+MIN(T198+AD199-AN199,MAX(0,ROUND(ROUND(Долги!$D$19-SUM($AL199:$AU199),2)-(SUM($H199:I199)-SUM($AL199:AM199)),2)))</f>
        <v>0.0</v>
      </c>
      <c r="K199" s="31">
        <f>AO199+MIN(U198+AE199-AO199,MAX(0,ROUND(ROUND(Долги!$D$19-SUM($AL199:$AU199),2)-(SUM($H199:J199)-SUM($AL199:AN199)),2)))</f>
        <v>0.0</v>
      </c>
      <c r="L199" s="31">
        <f>AP199+MIN(V198+AF199-AP199,MAX(0,ROUND(ROUND(Долги!$D$19-SUM($AL199:$AU199),2)-(SUM($H199:K199)-SUM($AL199:AO199)),2)))</f>
        <v>0.0</v>
      </c>
      <c r="M199" s="31">
        <f>AQ199+MIN(W198+AG199-AQ199,MAX(0,ROUND(ROUND(Долги!$D$19-SUM($AL199:$AU199),2)-(SUM($H199:L199)-SUM($AL199:AP199)),2)))</f>
        <v>0.0</v>
      </c>
      <c r="N199" s="31">
        <f>AR199+MIN(X198+AH199-AR199,MAX(0,ROUND(ROUND(Долги!$D$19-SUM($AL199:$AU199),2)-(SUM($H199:M199)-SUM($AL199:AQ199)),2)))</f>
        <v>0.0</v>
      </c>
      <c r="O199" s="31">
        <f>AS199+MIN(Y198+AI199-AS199,MAX(0,ROUND(ROUND(Долги!$D$19-SUM($AL199:$AU199),2)-(SUM($H199:N199)-SUM($AL199:AR199)),2)))</f>
        <v>0.0</v>
      </c>
      <c r="P199" s="31">
        <f>AT199+MIN(Z198+AJ199-AT199,MAX(0,ROUND(ROUND(Долги!$D$19-SUM($AL199:$AU199),2)-(SUM($H199:O199)-SUM($AL199:AS199)),2)))</f>
        <v>0.0</v>
      </c>
      <c r="Q199" s="31">
        <f>AU199+MIN(AA198+AK199-AU199,MAX(0,ROUND(ROUND(Долги!$D$19-SUM($AL199:$AU199),2)-(SUM($H199:P199)-SUM($AL199:AT199)),2)))</f>
        <v>0.0</v>
      </c>
      <c r="R199" s="31">
        <f>IF(R198+AB199-H199&lt;=0.01,0,ROUND(R198+AB199-H199,2))</f>
        <v>0.0</v>
      </c>
      <c r="S199" s="31">
        <f>IF(S198+AC199-I199&lt;=0.01,0,ROUND(S198+AC199-I199,2))</f>
        <v>0.0</v>
      </c>
      <c r="T199" s="31">
        <f>IF(T198+AD199-J199&lt;=0.01,0,ROUND(T198+AD199-J199,2))</f>
        <v>0.0</v>
      </c>
      <c r="U199" s="31">
        <f>IF(U198+AE199-K199&lt;=0.01,0,ROUND(U198+AE199-K199,2))</f>
        <v>0.0</v>
      </c>
      <c r="V199" s="31">
        <f>IF(V198+AF199-L199&lt;=0.01,0,ROUND(V198+AF199-L199,2))</f>
        <v>0.0</v>
      </c>
      <c r="W199" s="31">
        <f>IF(W198+AG199-M199&lt;=0.01,0,ROUND(W198+AG199-M199,2))</f>
        <v>0.0</v>
      </c>
      <c r="X199" s="31">
        <f>IF(X198+AH199-N199&lt;=0.01,0,ROUND(X198+AH199-N199,2))</f>
        <v>0.0</v>
      </c>
      <c r="Y199" s="31">
        <f>IF(Y198+AI199-O199&lt;=0.01,0,ROUND(Y198+AI199-O199,2))</f>
        <v>0.0</v>
      </c>
      <c r="Z199" s="31">
        <f>IF(Z198+AJ199-P199&lt;=0.01,0,ROUND(Z198+AJ199-P199,2))</f>
        <v>0.0</v>
      </c>
      <c r="AA199" s="31">
        <f>IF(AA198+AK199-Q199&lt;=0.01,0,ROUND(AA198+AK199-Q199,2))</f>
        <v>0.0</v>
      </c>
      <c r="AB199" s="31">
        <f>ROUND(R198*AB$5/1200,2)</f>
        <v>0.0</v>
      </c>
      <c r="AC199" s="31">
        <f>ROUND(S198*AC$5/1200,2)</f>
        <v>0.0</v>
      </c>
      <c r="AD199" s="31">
        <f>ROUND(T198*AD$5/1200,2)</f>
        <v>0.0</v>
      </c>
      <c r="AE199" s="31">
        <f>ROUND(U198*AE$5/1200,2)</f>
        <v>0.0</v>
      </c>
      <c r="AF199" s="31">
        <f>ROUND(V198*AF$5/1200,2)</f>
        <v>0.0</v>
      </c>
      <c r="AG199" s="31">
        <f>ROUND(W198*AG$5/1200,2)</f>
        <v>0.0</v>
      </c>
      <c r="AH199" s="31">
        <f>ROUND(X198*AH$5/1200,2)</f>
        <v>0.0</v>
      </c>
      <c r="AI199" s="31">
        <f>ROUND(Y198*AI$5/1200,2)</f>
        <v>0.0</v>
      </c>
      <c r="AJ199" s="31">
        <f>ROUND(Z198*AJ$5/1200,2)</f>
        <v>0.0</v>
      </c>
      <c r="AK199" s="31">
        <f>ROUND(AA198*AK$5/1200,2)</f>
        <v>0.0</v>
      </c>
      <c r="AL199" s="31">
        <f>MIN(AL$5,R198+AB199)</f>
        <v>0.0</v>
      </c>
      <c r="AM199" s="31">
        <f>MIN(AM$5,S198+AC199)</f>
        <v>0.0</v>
      </c>
      <c r="AN199" s="31">
        <f>MIN(AN$5,T198+AD199)</f>
        <v>0.0</v>
      </c>
      <c r="AO199" s="31">
        <f>MIN(AO$5,U198+AE199)</f>
        <v>0.0</v>
      </c>
      <c r="AP199" s="31">
        <f>MIN(AP$5,V198+AF199)</f>
        <v>0.0</v>
      </c>
      <c r="AQ199" s="31">
        <f>MIN(AQ$5,W198+AG199)</f>
        <v>0.0</v>
      </c>
      <c r="AR199" s="31">
        <f>MIN(AR$5,X198+AH199)</f>
        <v>0.0</v>
      </c>
      <c r="AS199" s="31">
        <f>MIN(AS$5,Y198+AI199)</f>
        <v>0.0</v>
      </c>
      <c r="AT199" s="31">
        <f>MIN(AT$5,Z198+AJ199)</f>
        <v>0.0</v>
      </c>
      <c r="AU199" s="31">
        <f>MIN(AU$5,AA198+AK199)</f>
        <v>0.0</v>
      </c>
    </row>
    <row r="200">
      <c r="A200" s="25" t="str">
        <f>IF(F199&gt;0.005,195,"")</f>
        <v/>
      </c>
      <c r="B200" s="33" t="str">
        <f>IF(A200="","",EDATE(Долги!$D$5,194))</f>
        <v/>
      </c>
      <c r="C200" s="31">
        <f>SUM(H200:Q200)</f>
        <v>0.0</v>
      </c>
      <c r="D200" s="31">
        <f>SUM(AB200:AK200)</f>
        <v>0.0</v>
      </c>
      <c r="E200" s="31">
        <f>C200-D200</f>
        <v>0.0</v>
      </c>
      <c r="F200" s="31">
        <f>SUM(R200:AA200)</f>
        <v>0.0</v>
      </c>
      <c r="G200" s="34" t="str">
        <f>IF(OR(A200="",$F$5&lt;=0),"",REPT("█",ROUND(20*F200/$F$5,0)))</f>
        <v/>
      </c>
      <c r="H200" s="31">
        <f>AL200+MIN(R199+AB200-AL200,MAX(0,ROUND(Долги!$D$19-SUM($AL200:$AU200),2)))</f>
        <v>0.0</v>
      </c>
      <c r="I200" s="31">
        <f>AM200+MIN(S199+AC200-AM200,MAX(0,ROUND(ROUND(Долги!$D$19-SUM($AL200:$AU200),2)-(SUM($H200:H200)-SUM($AL200:AL200)),2)))</f>
        <v>0.0</v>
      </c>
      <c r="J200" s="31">
        <f>AN200+MIN(T199+AD200-AN200,MAX(0,ROUND(ROUND(Долги!$D$19-SUM($AL200:$AU200),2)-(SUM($H200:I200)-SUM($AL200:AM200)),2)))</f>
        <v>0.0</v>
      </c>
      <c r="K200" s="31">
        <f>AO200+MIN(U199+AE200-AO200,MAX(0,ROUND(ROUND(Долги!$D$19-SUM($AL200:$AU200),2)-(SUM($H200:J200)-SUM($AL200:AN200)),2)))</f>
        <v>0.0</v>
      </c>
      <c r="L200" s="31">
        <f>AP200+MIN(V199+AF200-AP200,MAX(0,ROUND(ROUND(Долги!$D$19-SUM($AL200:$AU200),2)-(SUM($H200:K200)-SUM($AL200:AO200)),2)))</f>
        <v>0.0</v>
      </c>
      <c r="M200" s="31">
        <f>AQ200+MIN(W199+AG200-AQ200,MAX(0,ROUND(ROUND(Долги!$D$19-SUM($AL200:$AU200),2)-(SUM($H200:L200)-SUM($AL200:AP200)),2)))</f>
        <v>0.0</v>
      </c>
      <c r="N200" s="31">
        <f>AR200+MIN(X199+AH200-AR200,MAX(0,ROUND(ROUND(Долги!$D$19-SUM($AL200:$AU200),2)-(SUM($H200:M200)-SUM($AL200:AQ200)),2)))</f>
        <v>0.0</v>
      </c>
      <c r="O200" s="31">
        <f>AS200+MIN(Y199+AI200-AS200,MAX(0,ROUND(ROUND(Долги!$D$19-SUM($AL200:$AU200),2)-(SUM($H200:N200)-SUM($AL200:AR200)),2)))</f>
        <v>0.0</v>
      </c>
      <c r="P200" s="31">
        <f>AT200+MIN(Z199+AJ200-AT200,MAX(0,ROUND(ROUND(Долги!$D$19-SUM($AL200:$AU200),2)-(SUM($H200:O200)-SUM($AL200:AS200)),2)))</f>
        <v>0.0</v>
      </c>
      <c r="Q200" s="31">
        <f>AU200+MIN(AA199+AK200-AU200,MAX(0,ROUND(ROUND(Долги!$D$19-SUM($AL200:$AU200),2)-(SUM($H200:P200)-SUM($AL200:AT200)),2)))</f>
        <v>0.0</v>
      </c>
      <c r="R200" s="31">
        <f>IF(R199+AB200-H200&lt;=0.01,0,ROUND(R199+AB200-H200,2))</f>
        <v>0.0</v>
      </c>
      <c r="S200" s="31">
        <f>IF(S199+AC200-I200&lt;=0.01,0,ROUND(S199+AC200-I200,2))</f>
        <v>0.0</v>
      </c>
      <c r="T200" s="31">
        <f>IF(T199+AD200-J200&lt;=0.01,0,ROUND(T199+AD200-J200,2))</f>
        <v>0.0</v>
      </c>
      <c r="U200" s="31">
        <f>IF(U199+AE200-K200&lt;=0.01,0,ROUND(U199+AE200-K200,2))</f>
        <v>0.0</v>
      </c>
      <c r="V200" s="31">
        <f>IF(V199+AF200-L200&lt;=0.01,0,ROUND(V199+AF200-L200,2))</f>
        <v>0.0</v>
      </c>
      <c r="W200" s="31">
        <f>IF(W199+AG200-M200&lt;=0.01,0,ROUND(W199+AG200-M200,2))</f>
        <v>0.0</v>
      </c>
      <c r="X200" s="31">
        <f>IF(X199+AH200-N200&lt;=0.01,0,ROUND(X199+AH200-N200,2))</f>
        <v>0.0</v>
      </c>
      <c r="Y200" s="31">
        <f>IF(Y199+AI200-O200&lt;=0.01,0,ROUND(Y199+AI200-O200,2))</f>
        <v>0.0</v>
      </c>
      <c r="Z200" s="31">
        <f>IF(Z199+AJ200-P200&lt;=0.01,0,ROUND(Z199+AJ200-P200,2))</f>
        <v>0.0</v>
      </c>
      <c r="AA200" s="31">
        <f>IF(AA199+AK200-Q200&lt;=0.01,0,ROUND(AA199+AK200-Q200,2))</f>
        <v>0.0</v>
      </c>
      <c r="AB200" s="31">
        <f>ROUND(R199*AB$5/1200,2)</f>
        <v>0.0</v>
      </c>
      <c r="AC200" s="31">
        <f>ROUND(S199*AC$5/1200,2)</f>
        <v>0.0</v>
      </c>
      <c r="AD200" s="31">
        <f>ROUND(T199*AD$5/1200,2)</f>
        <v>0.0</v>
      </c>
      <c r="AE200" s="31">
        <f>ROUND(U199*AE$5/1200,2)</f>
        <v>0.0</v>
      </c>
      <c r="AF200" s="31">
        <f>ROUND(V199*AF$5/1200,2)</f>
        <v>0.0</v>
      </c>
      <c r="AG200" s="31">
        <f>ROUND(W199*AG$5/1200,2)</f>
        <v>0.0</v>
      </c>
      <c r="AH200" s="31">
        <f>ROUND(X199*AH$5/1200,2)</f>
        <v>0.0</v>
      </c>
      <c r="AI200" s="31">
        <f>ROUND(Y199*AI$5/1200,2)</f>
        <v>0.0</v>
      </c>
      <c r="AJ200" s="31">
        <f>ROUND(Z199*AJ$5/1200,2)</f>
        <v>0.0</v>
      </c>
      <c r="AK200" s="31">
        <f>ROUND(AA199*AK$5/1200,2)</f>
        <v>0.0</v>
      </c>
      <c r="AL200" s="31">
        <f>MIN(AL$5,R199+AB200)</f>
        <v>0.0</v>
      </c>
      <c r="AM200" s="31">
        <f>MIN(AM$5,S199+AC200)</f>
        <v>0.0</v>
      </c>
      <c r="AN200" s="31">
        <f>MIN(AN$5,T199+AD200)</f>
        <v>0.0</v>
      </c>
      <c r="AO200" s="31">
        <f>MIN(AO$5,U199+AE200)</f>
        <v>0.0</v>
      </c>
      <c r="AP200" s="31">
        <f>MIN(AP$5,V199+AF200)</f>
        <v>0.0</v>
      </c>
      <c r="AQ200" s="31">
        <f>MIN(AQ$5,W199+AG200)</f>
        <v>0.0</v>
      </c>
      <c r="AR200" s="31">
        <f>MIN(AR$5,X199+AH200)</f>
        <v>0.0</v>
      </c>
      <c r="AS200" s="31">
        <f>MIN(AS$5,Y199+AI200)</f>
        <v>0.0</v>
      </c>
      <c r="AT200" s="31">
        <f>MIN(AT$5,Z199+AJ200)</f>
        <v>0.0</v>
      </c>
      <c r="AU200" s="31">
        <f>MIN(AU$5,AA199+AK200)</f>
        <v>0.0</v>
      </c>
    </row>
    <row r="201">
      <c r="A201" s="25" t="str">
        <f>IF(F200&gt;0.005,196,"")</f>
        <v/>
      </c>
      <c r="B201" s="33" t="str">
        <f>IF(A201="","",EDATE(Долги!$D$5,195))</f>
        <v/>
      </c>
      <c r="C201" s="31">
        <f>SUM(H201:Q201)</f>
        <v>0.0</v>
      </c>
      <c r="D201" s="31">
        <f>SUM(AB201:AK201)</f>
        <v>0.0</v>
      </c>
      <c r="E201" s="31">
        <f>C201-D201</f>
        <v>0.0</v>
      </c>
      <c r="F201" s="31">
        <f>SUM(R201:AA201)</f>
        <v>0.0</v>
      </c>
      <c r="G201" s="34" t="str">
        <f>IF(OR(A201="",$F$5&lt;=0),"",REPT("█",ROUND(20*F201/$F$5,0)))</f>
        <v/>
      </c>
      <c r="H201" s="31">
        <f>AL201+MIN(R200+AB201-AL201,MAX(0,ROUND(Долги!$D$19-SUM($AL201:$AU201),2)))</f>
        <v>0.0</v>
      </c>
      <c r="I201" s="31">
        <f>AM201+MIN(S200+AC201-AM201,MAX(0,ROUND(ROUND(Долги!$D$19-SUM($AL201:$AU201),2)-(SUM($H201:H201)-SUM($AL201:AL201)),2)))</f>
        <v>0.0</v>
      </c>
      <c r="J201" s="31">
        <f>AN201+MIN(T200+AD201-AN201,MAX(0,ROUND(ROUND(Долги!$D$19-SUM($AL201:$AU201),2)-(SUM($H201:I201)-SUM($AL201:AM201)),2)))</f>
        <v>0.0</v>
      </c>
      <c r="K201" s="31">
        <f>AO201+MIN(U200+AE201-AO201,MAX(0,ROUND(ROUND(Долги!$D$19-SUM($AL201:$AU201),2)-(SUM($H201:J201)-SUM($AL201:AN201)),2)))</f>
        <v>0.0</v>
      </c>
      <c r="L201" s="31">
        <f>AP201+MIN(V200+AF201-AP201,MAX(0,ROUND(ROUND(Долги!$D$19-SUM($AL201:$AU201),2)-(SUM($H201:K201)-SUM($AL201:AO201)),2)))</f>
        <v>0.0</v>
      </c>
      <c r="M201" s="31">
        <f>AQ201+MIN(W200+AG201-AQ201,MAX(0,ROUND(ROUND(Долги!$D$19-SUM($AL201:$AU201),2)-(SUM($H201:L201)-SUM($AL201:AP201)),2)))</f>
        <v>0.0</v>
      </c>
      <c r="N201" s="31">
        <f>AR201+MIN(X200+AH201-AR201,MAX(0,ROUND(ROUND(Долги!$D$19-SUM($AL201:$AU201),2)-(SUM($H201:M201)-SUM($AL201:AQ201)),2)))</f>
        <v>0.0</v>
      </c>
      <c r="O201" s="31">
        <f>AS201+MIN(Y200+AI201-AS201,MAX(0,ROUND(ROUND(Долги!$D$19-SUM($AL201:$AU201),2)-(SUM($H201:N201)-SUM($AL201:AR201)),2)))</f>
        <v>0.0</v>
      </c>
      <c r="P201" s="31">
        <f>AT201+MIN(Z200+AJ201-AT201,MAX(0,ROUND(ROUND(Долги!$D$19-SUM($AL201:$AU201),2)-(SUM($H201:O201)-SUM($AL201:AS201)),2)))</f>
        <v>0.0</v>
      </c>
      <c r="Q201" s="31">
        <f>AU201+MIN(AA200+AK201-AU201,MAX(0,ROUND(ROUND(Долги!$D$19-SUM($AL201:$AU201),2)-(SUM($H201:P201)-SUM($AL201:AT201)),2)))</f>
        <v>0.0</v>
      </c>
      <c r="R201" s="31">
        <f>IF(R200+AB201-H201&lt;=0.01,0,ROUND(R200+AB201-H201,2))</f>
        <v>0.0</v>
      </c>
      <c r="S201" s="31">
        <f>IF(S200+AC201-I201&lt;=0.01,0,ROUND(S200+AC201-I201,2))</f>
        <v>0.0</v>
      </c>
      <c r="T201" s="31">
        <f>IF(T200+AD201-J201&lt;=0.01,0,ROUND(T200+AD201-J201,2))</f>
        <v>0.0</v>
      </c>
      <c r="U201" s="31">
        <f>IF(U200+AE201-K201&lt;=0.01,0,ROUND(U200+AE201-K201,2))</f>
        <v>0.0</v>
      </c>
      <c r="V201" s="31">
        <f>IF(V200+AF201-L201&lt;=0.01,0,ROUND(V200+AF201-L201,2))</f>
        <v>0.0</v>
      </c>
      <c r="W201" s="31">
        <f>IF(W200+AG201-M201&lt;=0.01,0,ROUND(W200+AG201-M201,2))</f>
        <v>0.0</v>
      </c>
      <c r="X201" s="31">
        <f>IF(X200+AH201-N201&lt;=0.01,0,ROUND(X200+AH201-N201,2))</f>
        <v>0.0</v>
      </c>
      <c r="Y201" s="31">
        <f>IF(Y200+AI201-O201&lt;=0.01,0,ROUND(Y200+AI201-O201,2))</f>
        <v>0.0</v>
      </c>
      <c r="Z201" s="31">
        <f>IF(Z200+AJ201-P201&lt;=0.01,0,ROUND(Z200+AJ201-P201,2))</f>
        <v>0.0</v>
      </c>
      <c r="AA201" s="31">
        <f>IF(AA200+AK201-Q201&lt;=0.01,0,ROUND(AA200+AK201-Q201,2))</f>
        <v>0.0</v>
      </c>
      <c r="AB201" s="31">
        <f>ROUND(R200*AB$5/1200,2)</f>
        <v>0.0</v>
      </c>
      <c r="AC201" s="31">
        <f>ROUND(S200*AC$5/1200,2)</f>
        <v>0.0</v>
      </c>
      <c r="AD201" s="31">
        <f>ROUND(T200*AD$5/1200,2)</f>
        <v>0.0</v>
      </c>
      <c r="AE201" s="31">
        <f>ROUND(U200*AE$5/1200,2)</f>
        <v>0.0</v>
      </c>
      <c r="AF201" s="31">
        <f>ROUND(V200*AF$5/1200,2)</f>
        <v>0.0</v>
      </c>
      <c r="AG201" s="31">
        <f>ROUND(W200*AG$5/1200,2)</f>
        <v>0.0</v>
      </c>
      <c r="AH201" s="31">
        <f>ROUND(X200*AH$5/1200,2)</f>
        <v>0.0</v>
      </c>
      <c r="AI201" s="31">
        <f>ROUND(Y200*AI$5/1200,2)</f>
        <v>0.0</v>
      </c>
      <c r="AJ201" s="31">
        <f>ROUND(Z200*AJ$5/1200,2)</f>
        <v>0.0</v>
      </c>
      <c r="AK201" s="31">
        <f>ROUND(AA200*AK$5/1200,2)</f>
        <v>0.0</v>
      </c>
      <c r="AL201" s="31">
        <f>MIN(AL$5,R200+AB201)</f>
        <v>0.0</v>
      </c>
      <c r="AM201" s="31">
        <f>MIN(AM$5,S200+AC201)</f>
        <v>0.0</v>
      </c>
      <c r="AN201" s="31">
        <f>MIN(AN$5,T200+AD201)</f>
        <v>0.0</v>
      </c>
      <c r="AO201" s="31">
        <f>MIN(AO$5,U200+AE201)</f>
        <v>0.0</v>
      </c>
      <c r="AP201" s="31">
        <f>MIN(AP$5,V200+AF201)</f>
        <v>0.0</v>
      </c>
      <c r="AQ201" s="31">
        <f>MIN(AQ$5,W200+AG201)</f>
        <v>0.0</v>
      </c>
      <c r="AR201" s="31">
        <f>MIN(AR$5,X200+AH201)</f>
        <v>0.0</v>
      </c>
      <c r="AS201" s="31">
        <f>MIN(AS$5,Y200+AI201)</f>
        <v>0.0</v>
      </c>
      <c r="AT201" s="31">
        <f>MIN(AT$5,Z200+AJ201)</f>
        <v>0.0</v>
      </c>
      <c r="AU201" s="31">
        <f>MIN(AU$5,AA200+AK201)</f>
        <v>0.0</v>
      </c>
    </row>
    <row r="202">
      <c r="A202" s="25" t="str">
        <f>IF(F201&gt;0.005,197,"")</f>
        <v/>
      </c>
      <c r="B202" s="33" t="str">
        <f>IF(A202="","",EDATE(Долги!$D$5,196))</f>
        <v/>
      </c>
      <c r="C202" s="31">
        <f>SUM(H202:Q202)</f>
        <v>0.0</v>
      </c>
      <c r="D202" s="31">
        <f>SUM(AB202:AK202)</f>
        <v>0.0</v>
      </c>
      <c r="E202" s="31">
        <f>C202-D202</f>
        <v>0.0</v>
      </c>
      <c r="F202" s="31">
        <f>SUM(R202:AA202)</f>
        <v>0.0</v>
      </c>
      <c r="G202" s="34" t="str">
        <f>IF(OR(A202="",$F$5&lt;=0),"",REPT("█",ROUND(20*F202/$F$5,0)))</f>
        <v/>
      </c>
      <c r="H202" s="31">
        <f>AL202+MIN(R201+AB202-AL202,MAX(0,ROUND(Долги!$D$19-SUM($AL202:$AU202),2)))</f>
        <v>0.0</v>
      </c>
      <c r="I202" s="31">
        <f>AM202+MIN(S201+AC202-AM202,MAX(0,ROUND(ROUND(Долги!$D$19-SUM($AL202:$AU202),2)-(SUM($H202:H202)-SUM($AL202:AL202)),2)))</f>
        <v>0.0</v>
      </c>
      <c r="J202" s="31">
        <f>AN202+MIN(T201+AD202-AN202,MAX(0,ROUND(ROUND(Долги!$D$19-SUM($AL202:$AU202),2)-(SUM($H202:I202)-SUM($AL202:AM202)),2)))</f>
        <v>0.0</v>
      </c>
      <c r="K202" s="31">
        <f>AO202+MIN(U201+AE202-AO202,MAX(0,ROUND(ROUND(Долги!$D$19-SUM($AL202:$AU202),2)-(SUM($H202:J202)-SUM($AL202:AN202)),2)))</f>
        <v>0.0</v>
      </c>
      <c r="L202" s="31">
        <f>AP202+MIN(V201+AF202-AP202,MAX(0,ROUND(ROUND(Долги!$D$19-SUM($AL202:$AU202),2)-(SUM($H202:K202)-SUM($AL202:AO202)),2)))</f>
        <v>0.0</v>
      </c>
      <c r="M202" s="31">
        <f>AQ202+MIN(W201+AG202-AQ202,MAX(0,ROUND(ROUND(Долги!$D$19-SUM($AL202:$AU202),2)-(SUM($H202:L202)-SUM($AL202:AP202)),2)))</f>
        <v>0.0</v>
      </c>
      <c r="N202" s="31">
        <f>AR202+MIN(X201+AH202-AR202,MAX(0,ROUND(ROUND(Долги!$D$19-SUM($AL202:$AU202),2)-(SUM($H202:M202)-SUM($AL202:AQ202)),2)))</f>
        <v>0.0</v>
      </c>
      <c r="O202" s="31">
        <f>AS202+MIN(Y201+AI202-AS202,MAX(0,ROUND(ROUND(Долги!$D$19-SUM($AL202:$AU202),2)-(SUM($H202:N202)-SUM($AL202:AR202)),2)))</f>
        <v>0.0</v>
      </c>
      <c r="P202" s="31">
        <f>AT202+MIN(Z201+AJ202-AT202,MAX(0,ROUND(ROUND(Долги!$D$19-SUM($AL202:$AU202),2)-(SUM($H202:O202)-SUM($AL202:AS202)),2)))</f>
        <v>0.0</v>
      </c>
      <c r="Q202" s="31">
        <f>AU202+MIN(AA201+AK202-AU202,MAX(0,ROUND(ROUND(Долги!$D$19-SUM($AL202:$AU202),2)-(SUM($H202:P202)-SUM($AL202:AT202)),2)))</f>
        <v>0.0</v>
      </c>
      <c r="R202" s="31">
        <f>IF(R201+AB202-H202&lt;=0.01,0,ROUND(R201+AB202-H202,2))</f>
        <v>0.0</v>
      </c>
      <c r="S202" s="31">
        <f>IF(S201+AC202-I202&lt;=0.01,0,ROUND(S201+AC202-I202,2))</f>
        <v>0.0</v>
      </c>
      <c r="T202" s="31">
        <f>IF(T201+AD202-J202&lt;=0.01,0,ROUND(T201+AD202-J202,2))</f>
        <v>0.0</v>
      </c>
      <c r="U202" s="31">
        <f>IF(U201+AE202-K202&lt;=0.01,0,ROUND(U201+AE202-K202,2))</f>
        <v>0.0</v>
      </c>
      <c r="V202" s="31">
        <f>IF(V201+AF202-L202&lt;=0.01,0,ROUND(V201+AF202-L202,2))</f>
        <v>0.0</v>
      </c>
      <c r="W202" s="31">
        <f>IF(W201+AG202-M202&lt;=0.01,0,ROUND(W201+AG202-M202,2))</f>
        <v>0.0</v>
      </c>
      <c r="X202" s="31">
        <f>IF(X201+AH202-N202&lt;=0.01,0,ROUND(X201+AH202-N202,2))</f>
        <v>0.0</v>
      </c>
      <c r="Y202" s="31">
        <f>IF(Y201+AI202-O202&lt;=0.01,0,ROUND(Y201+AI202-O202,2))</f>
        <v>0.0</v>
      </c>
      <c r="Z202" s="31">
        <f>IF(Z201+AJ202-P202&lt;=0.01,0,ROUND(Z201+AJ202-P202,2))</f>
        <v>0.0</v>
      </c>
      <c r="AA202" s="31">
        <f>IF(AA201+AK202-Q202&lt;=0.01,0,ROUND(AA201+AK202-Q202,2))</f>
        <v>0.0</v>
      </c>
      <c r="AB202" s="31">
        <f>ROUND(R201*AB$5/1200,2)</f>
        <v>0.0</v>
      </c>
      <c r="AC202" s="31">
        <f>ROUND(S201*AC$5/1200,2)</f>
        <v>0.0</v>
      </c>
      <c r="AD202" s="31">
        <f>ROUND(T201*AD$5/1200,2)</f>
        <v>0.0</v>
      </c>
      <c r="AE202" s="31">
        <f>ROUND(U201*AE$5/1200,2)</f>
        <v>0.0</v>
      </c>
      <c r="AF202" s="31">
        <f>ROUND(V201*AF$5/1200,2)</f>
        <v>0.0</v>
      </c>
      <c r="AG202" s="31">
        <f>ROUND(W201*AG$5/1200,2)</f>
        <v>0.0</v>
      </c>
      <c r="AH202" s="31">
        <f>ROUND(X201*AH$5/1200,2)</f>
        <v>0.0</v>
      </c>
      <c r="AI202" s="31">
        <f>ROUND(Y201*AI$5/1200,2)</f>
        <v>0.0</v>
      </c>
      <c r="AJ202" s="31">
        <f>ROUND(Z201*AJ$5/1200,2)</f>
        <v>0.0</v>
      </c>
      <c r="AK202" s="31">
        <f>ROUND(AA201*AK$5/1200,2)</f>
        <v>0.0</v>
      </c>
      <c r="AL202" s="31">
        <f>MIN(AL$5,R201+AB202)</f>
        <v>0.0</v>
      </c>
      <c r="AM202" s="31">
        <f>MIN(AM$5,S201+AC202)</f>
        <v>0.0</v>
      </c>
      <c r="AN202" s="31">
        <f>MIN(AN$5,T201+AD202)</f>
        <v>0.0</v>
      </c>
      <c r="AO202" s="31">
        <f>MIN(AO$5,U201+AE202)</f>
        <v>0.0</v>
      </c>
      <c r="AP202" s="31">
        <f>MIN(AP$5,V201+AF202)</f>
        <v>0.0</v>
      </c>
      <c r="AQ202" s="31">
        <f>MIN(AQ$5,W201+AG202)</f>
        <v>0.0</v>
      </c>
      <c r="AR202" s="31">
        <f>MIN(AR$5,X201+AH202)</f>
        <v>0.0</v>
      </c>
      <c r="AS202" s="31">
        <f>MIN(AS$5,Y201+AI202)</f>
        <v>0.0</v>
      </c>
      <c r="AT202" s="31">
        <f>MIN(AT$5,Z201+AJ202)</f>
        <v>0.0</v>
      </c>
      <c r="AU202" s="31">
        <f>MIN(AU$5,AA201+AK202)</f>
        <v>0.0</v>
      </c>
    </row>
    <row r="203">
      <c r="A203" s="25" t="str">
        <f>IF(F202&gt;0.005,198,"")</f>
        <v/>
      </c>
      <c r="B203" s="33" t="str">
        <f>IF(A203="","",EDATE(Долги!$D$5,197))</f>
        <v/>
      </c>
      <c r="C203" s="31">
        <f>SUM(H203:Q203)</f>
        <v>0.0</v>
      </c>
      <c r="D203" s="31">
        <f>SUM(AB203:AK203)</f>
        <v>0.0</v>
      </c>
      <c r="E203" s="31">
        <f>C203-D203</f>
        <v>0.0</v>
      </c>
      <c r="F203" s="31">
        <f>SUM(R203:AA203)</f>
        <v>0.0</v>
      </c>
      <c r="G203" s="34" t="str">
        <f>IF(OR(A203="",$F$5&lt;=0),"",REPT("█",ROUND(20*F203/$F$5,0)))</f>
        <v/>
      </c>
      <c r="H203" s="31">
        <f>AL203+MIN(R202+AB203-AL203,MAX(0,ROUND(Долги!$D$19-SUM($AL203:$AU203),2)))</f>
        <v>0.0</v>
      </c>
      <c r="I203" s="31">
        <f>AM203+MIN(S202+AC203-AM203,MAX(0,ROUND(ROUND(Долги!$D$19-SUM($AL203:$AU203),2)-(SUM($H203:H203)-SUM($AL203:AL203)),2)))</f>
        <v>0.0</v>
      </c>
      <c r="J203" s="31">
        <f>AN203+MIN(T202+AD203-AN203,MAX(0,ROUND(ROUND(Долги!$D$19-SUM($AL203:$AU203),2)-(SUM($H203:I203)-SUM($AL203:AM203)),2)))</f>
        <v>0.0</v>
      </c>
      <c r="K203" s="31">
        <f>AO203+MIN(U202+AE203-AO203,MAX(0,ROUND(ROUND(Долги!$D$19-SUM($AL203:$AU203),2)-(SUM($H203:J203)-SUM($AL203:AN203)),2)))</f>
        <v>0.0</v>
      </c>
      <c r="L203" s="31">
        <f>AP203+MIN(V202+AF203-AP203,MAX(0,ROUND(ROUND(Долги!$D$19-SUM($AL203:$AU203),2)-(SUM($H203:K203)-SUM($AL203:AO203)),2)))</f>
        <v>0.0</v>
      </c>
      <c r="M203" s="31">
        <f>AQ203+MIN(W202+AG203-AQ203,MAX(0,ROUND(ROUND(Долги!$D$19-SUM($AL203:$AU203),2)-(SUM($H203:L203)-SUM($AL203:AP203)),2)))</f>
        <v>0.0</v>
      </c>
      <c r="N203" s="31">
        <f>AR203+MIN(X202+AH203-AR203,MAX(0,ROUND(ROUND(Долги!$D$19-SUM($AL203:$AU203),2)-(SUM($H203:M203)-SUM($AL203:AQ203)),2)))</f>
        <v>0.0</v>
      </c>
      <c r="O203" s="31">
        <f>AS203+MIN(Y202+AI203-AS203,MAX(0,ROUND(ROUND(Долги!$D$19-SUM($AL203:$AU203),2)-(SUM($H203:N203)-SUM($AL203:AR203)),2)))</f>
        <v>0.0</v>
      </c>
      <c r="P203" s="31">
        <f>AT203+MIN(Z202+AJ203-AT203,MAX(0,ROUND(ROUND(Долги!$D$19-SUM($AL203:$AU203),2)-(SUM($H203:O203)-SUM($AL203:AS203)),2)))</f>
        <v>0.0</v>
      </c>
      <c r="Q203" s="31">
        <f>AU203+MIN(AA202+AK203-AU203,MAX(0,ROUND(ROUND(Долги!$D$19-SUM($AL203:$AU203),2)-(SUM($H203:P203)-SUM($AL203:AT203)),2)))</f>
        <v>0.0</v>
      </c>
      <c r="R203" s="31">
        <f>IF(R202+AB203-H203&lt;=0.01,0,ROUND(R202+AB203-H203,2))</f>
        <v>0.0</v>
      </c>
      <c r="S203" s="31">
        <f>IF(S202+AC203-I203&lt;=0.01,0,ROUND(S202+AC203-I203,2))</f>
        <v>0.0</v>
      </c>
      <c r="T203" s="31">
        <f>IF(T202+AD203-J203&lt;=0.01,0,ROUND(T202+AD203-J203,2))</f>
        <v>0.0</v>
      </c>
      <c r="U203" s="31">
        <f>IF(U202+AE203-K203&lt;=0.01,0,ROUND(U202+AE203-K203,2))</f>
        <v>0.0</v>
      </c>
      <c r="V203" s="31">
        <f>IF(V202+AF203-L203&lt;=0.01,0,ROUND(V202+AF203-L203,2))</f>
        <v>0.0</v>
      </c>
      <c r="W203" s="31">
        <f>IF(W202+AG203-M203&lt;=0.01,0,ROUND(W202+AG203-M203,2))</f>
        <v>0.0</v>
      </c>
      <c r="X203" s="31">
        <f>IF(X202+AH203-N203&lt;=0.01,0,ROUND(X202+AH203-N203,2))</f>
        <v>0.0</v>
      </c>
      <c r="Y203" s="31">
        <f>IF(Y202+AI203-O203&lt;=0.01,0,ROUND(Y202+AI203-O203,2))</f>
        <v>0.0</v>
      </c>
      <c r="Z203" s="31">
        <f>IF(Z202+AJ203-P203&lt;=0.01,0,ROUND(Z202+AJ203-P203,2))</f>
        <v>0.0</v>
      </c>
      <c r="AA203" s="31">
        <f>IF(AA202+AK203-Q203&lt;=0.01,0,ROUND(AA202+AK203-Q203,2))</f>
        <v>0.0</v>
      </c>
      <c r="AB203" s="31">
        <f>ROUND(R202*AB$5/1200,2)</f>
        <v>0.0</v>
      </c>
      <c r="AC203" s="31">
        <f>ROUND(S202*AC$5/1200,2)</f>
        <v>0.0</v>
      </c>
      <c r="AD203" s="31">
        <f>ROUND(T202*AD$5/1200,2)</f>
        <v>0.0</v>
      </c>
      <c r="AE203" s="31">
        <f>ROUND(U202*AE$5/1200,2)</f>
        <v>0.0</v>
      </c>
      <c r="AF203" s="31">
        <f>ROUND(V202*AF$5/1200,2)</f>
        <v>0.0</v>
      </c>
      <c r="AG203" s="31">
        <f>ROUND(W202*AG$5/1200,2)</f>
        <v>0.0</v>
      </c>
      <c r="AH203" s="31">
        <f>ROUND(X202*AH$5/1200,2)</f>
        <v>0.0</v>
      </c>
      <c r="AI203" s="31">
        <f>ROUND(Y202*AI$5/1200,2)</f>
        <v>0.0</v>
      </c>
      <c r="AJ203" s="31">
        <f>ROUND(Z202*AJ$5/1200,2)</f>
        <v>0.0</v>
      </c>
      <c r="AK203" s="31">
        <f>ROUND(AA202*AK$5/1200,2)</f>
        <v>0.0</v>
      </c>
      <c r="AL203" s="31">
        <f>MIN(AL$5,R202+AB203)</f>
        <v>0.0</v>
      </c>
      <c r="AM203" s="31">
        <f>MIN(AM$5,S202+AC203)</f>
        <v>0.0</v>
      </c>
      <c r="AN203" s="31">
        <f>MIN(AN$5,T202+AD203)</f>
        <v>0.0</v>
      </c>
      <c r="AO203" s="31">
        <f>MIN(AO$5,U202+AE203)</f>
        <v>0.0</v>
      </c>
      <c r="AP203" s="31">
        <f>MIN(AP$5,V202+AF203)</f>
        <v>0.0</v>
      </c>
      <c r="AQ203" s="31">
        <f>MIN(AQ$5,W202+AG203)</f>
        <v>0.0</v>
      </c>
      <c r="AR203" s="31">
        <f>MIN(AR$5,X202+AH203)</f>
        <v>0.0</v>
      </c>
      <c r="AS203" s="31">
        <f>MIN(AS$5,Y202+AI203)</f>
        <v>0.0</v>
      </c>
      <c r="AT203" s="31">
        <f>MIN(AT$5,Z202+AJ203)</f>
        <v>0.0</v>
      </c>
      <c r="AU203" s="31">
        <f>MIN(AU$5,AA202+AK203)</f>
        <v>0.0</v>
      </c>
    </row>
    <row r="204">
      <c r="A204" s="25" t="str">
        <f>IF(F203&gt;0.005,199,"")</f>
        <v/>
      </c>
      <c r="B204" s="33" t="str">
        <f>IF(A204="","",EDATE(Долги!$D$5,198))</f>
        <v/>
      </c>
      <c r="C204" s="31">
        <f>SUM(H204:Q204)</f>
        <v>0.0</v>
      </c>
      <c r="D204" s="31">
        <f>SUM(AB204:AK204)</f>
        <v>0.0</v>
      </c>
      <c r="E204" s="31">
        <f>C204-D204</f>
        <v>0.0</v>
      </c>
      <c r="F204" s="31">
        <f>SUM(R204:AA204)</f>
        <v>0.0</v>
      </c>
      <c r="G204" s="34" t="str">
        <f>IF(OR(A204="",$F$5&lt;=0),"",REPT("█",ROUND(20*F204/$F$5,0)))</f>
        <v/>
      </c>
      <c r="H204" s="31">
        <f>AL204+MIN(R203+AB204-AL204,MAX(0,ROUND(Долги!$D$19-SUM($AL204:$AU204),2)))</f>
        <v>0.0</v>
      </c>
      <c r="I204" s="31">
        <f>AM204+MIN(S203+AC204-AM204,MAX(0,ROUND(ROUND(Долги!$D$19-SUM($AL204:$AU204),2)-(SUM($H204:H204)-SUM($AL204:AL204)),2)))</f>
        <v>0.0</v>
      </c>
      <c r="J204" s="31">
        <f>AN204+MIN(T203+AD204-AN204,MAX(0,ROUND(ROUND(Долги!$D$19-SUM($AL204:$AU204),2)-(SUM($H204:I204)-SUM($AL204:AM204)),2)))</f>
        <v>0.0</v>
      </c>
      <c r="K204" s="31">
        <f>AO204+MIN(U203+AE204-AO204,MAX(0,ROUND(ROUND(Долги!$D$19-SUM($AL204:$AU204),2)-(SUM($H204:J204)-SUM($AL204:AN204)),2)))</f>
        <v>0.0</v>
      </c>
      <c r="L204" s="31">
        <f>AP204+MIN(V203+AF204-AP204,MAX(0,ROUND(ROUND(Долги!$D$19-SUM($AL204:$AU204),2)-(SUM($H204:K204)-SUM($AL204:AO204)),2)))</f>
        <v>0.0</v>
      </c>
      <c r="M204" s="31">
        <f>AQ204+MIN(W203+AG204-AQ204,MAX(0,ROUND(ROUND(Долги!$D$19-SUM($AL204:$AU204),2)-(SUM($H204:L204)-SUM($AL204:AP204)),2)))</f>
        <v>0.0</v>
      </c>
      <c r="N204" s="31">
        <f>AR204+MIN(X203+AH204-AR204,MAX(0,ROUND(ROUND(Долги!$D$19-SUM($AL204:$AU204),2)-(SUM($H204:M204)-SUM($AL204:AQ204)),2)))</f>
        <v>0.0</v>
      </c>
      <c r="O204" s="31">
        <f>AS204+MIN(Y203+AI204-AS204,MAX(0,ROUND(ROUND(Долги!$D$19-SUM($AL204:$AU204),2)-(SUM($H204:N204)-SUM($AL204:AR204)),2)))</f>
        <v>0.0</v>
      </c>
      <c r="P204" s="31">
        <f>AT204+MIN(Z203+AJ204-AT204,MAX(0,ROUND(ROUND(Долги!$D$19-SUM($AL204:$AU204),2)-(SUM($H204:O204)-SUM($AL204:AS204)),2)))</f>
        <v>0.0</v>
      </c>
      <c r="Q204" s="31">
        <f>AU204+MIN(AA203+AK204-AU204,MAX(0,ROUND(ROUND(Долги!$D$19-SUM($AL204:$AU204),2)-(SUM($H204:P204)-SUM($AL204:AT204)),2)))</f>
        <v>0.0</v>
      </c>
      <c r="R204" s="31">
        <f>IF(R203+AB204-H204&lt;=0.01,0,ROUND(R203+AB204-H204,2))</f>
        <v>0.0</v>
      </c>
      <c r="S204" s="31">
        <f>IF(S203+AC204-I204&lt;=0.01,0,ROUND(S203+AC204-I204,2))</f>
        <v>0.0</v>
      </c>
      <c r="T204" s="31">
        <f>IF(T203+AD204-J204&lt;=0.01,0,ROUND(T203+AD204-J204,2))</f>
        <v>0.0</v>
      </c>
      <c r="U204" s="31">
        <f>IF(U203+AE204-K204&lt;=0.01,0,ROUND(U203+AE204-K204,2))</f>
        <v>0.0</v>
      </c>
      <c r="V204" s="31">
        <f>IF(V203+AF204-L204&lt;=0.01,0,ROUND(V203+AF204-L204,2))</f>
        <v>0.0</v>
      </c>
      <c r="W204" s="31">
        <f>IF(W203+AG204-M204&lt;=0.01,0,ROUND(W203+AG204-M204,2))</f>
        <v>0.0</v>
      </c>
      <c r="X204" s="31">
        <f>IF(X203+AH204-N204&lt;=0.01,0,ROUND(X203+AH204-N204,2))</f>
        <v>0.0</v>
      </c>
      <c r="Y204" s="31">
        <f>IF(Y203+AI204-O204&lt;=0.01,0,ROUND(Y203+AI204-O204,2))</f>
        <v>0.0</v>
      </c>
      <c r="Z204" s="31">
        <f>IF(Z203+AJ204-P204&lt;=0.01,0,ROUND(Z203+AJ204-P204,2))</f>
        <v>0.0</v>
      </c>
      <c r="AA204" s="31">
        <f>IF(AA203+AK204-Q204&lt;=0.01,0,ROUND(AA203+AK204-Q204,2))</f>
        <v>0.0</v>
      </c>
      <c r="AB204" s="31">
        <f>ROUND(R203*AB$5/1200,2)</f>
        <v>0.0</v>
      </c>
      <c r="AC204" s="31">
        <f>ROUND(S203*AC$5/1200,2)</f>
        <v>0.0</v>
      </c>
      <c r="AD204" s="31">
        <f>ROUND(T203*AD$5/1200,2)</f>
        <v>0.0</v>
      </c>
      <c r="AE204" s="31">
        <f>ROUND(U203*AE$5/1200,2)</f>
        <v>0.0</v>
      </c>
      <c r="AF204" s="31">
        <f>ROUND(V203*AF$5/1200,2)</f>
        <v>0.0</v>
      </c>
      <c r="AG204" s="31">
        <f>ROUND(W203*AG$5/1200,2)</f>
        <v>0.0</v>
      </c>
      <c r="AH204" s="31">
        <f>ROUND(X203*AH$5/1200,2)</f>
        <v>0.0</v>
      </c>
      <c r="AI204" s="31">
        <f>ROUND(Y203*AI$5/1200,2)</f>
        <v>0.0</v>
      </c>
      <c r="AJ204" s="31">
        <f>ROUND(Z203*AJ$5/1200,2)</f>
        <v>0.0</v>
      </c>
      <c r="AK204" s="31">
        <f>ROUND(AA203*AK$5/1200,2)</f>
        <v>0.0</v>
      </c>
      <c r="AL204" s="31">
        <f>MIN(AL$5,R203+AB204)</f>
        <v>0.0</v>
      </c>
      <c r="AM204" s="31">
        <f>MIN(AM$5,S203+AC204)</f>
        <v>0.0</v>
      </c>
      <c r="AN204" s="31">
        <f>MIN(AN$5,T203+AD204)</f>
        <v>0.0</v>
      </c>
      <c r="AO204" s="31">
        <f>MIN(AO$5,U203+AE204)</f>
        <v>0.0</v>
      </c>
      <c r="AP204" s="31">
        <f>MIN(AP$5,V203+AF204)</f>
        <v>0.0</v>
      </c>
      <c r="AQ204" s="31">
        <f>MIN(AQ$5,W203+AG204)</f>
        <v>0.0</v>
      </c>
      <c r="AR204" s="31">
        <f>MIN(AR$5,X203+AH204)</f>
        <v>0.0</v>
      </c>
      <c r="AS204" s="31">
        <f>MIN(AS$5,Y203+AI204)</f>
        <v>0.0</v>
      </c>
      <c r="AT204" s="31">
        <f>MIN(AT$5,Z203+AJ204)</f>
        <v>0.0</v>
      </c>
      <c r="AU204" s="31">
        <f>MIN(AU$5,AA203+AK204)</f>
        <v>0.0</v>
      </c>
    </row>
    <row r="205">
      <c r="A205" s="25" t="str">
        <f>IF(F204&gt;0.005,200,"")</f>
        <v/>
      </c>
      <c r="B205" s="33" t="str">
        <f>IF(A205="","",EDATE(Долги!$D$5,199))</f>
        <v/>
      </c>
      <c r="C205" s="31">
        <f>SUM(H205:Q205)</f>
        <v>0.0</v>
      </c>
      <c r="D205" s="31">
        <f>SUM(AB205:AK205)</f>
        <v>0.0</v>
      </c>
      <c r="E205" s="31">
        <f>C205-D205</f>
        <v>0.0</v>
      </c>
      <c r="F205" s="31">
        <f>SUM(R205:AA205)</f>
        <v>0.0</v>
      </c>
      <c r="G205" s="34" t="str">
        <f>IF(OR(A205="",$F$5&lt;=0),"",REPT("█",ROUND(20*F205/$F$5,0)))</f>
        <v/>
      </c>
      <c r="H205" s="31">
        <f>AL205+MIN(R204+AB205-AL205,MAX(0,ROUND(Долги!$D$19-SUM($AL205:$AU205),2)))</f>
        <v>0.0</v>
      </c>
      <c r="I205" s="31">
        <f>AM205+MIN(S204+AC205-AM205,MAX(0,ROUND(ROUND(Долги!$D$19-SUM($AL205:$AU205),2)-(SUM($H205:H205)-SUM($AL205:AL205)),2)))</f>
        <v>0.0</v>
      </c>
      <c r="J205" s="31">
        <f>AN205+MIN(T204+AD205-AN205,MAX(0,ROUND(ROUND(Долги!$D$19-SUM($AL205:$AU205),2)-(SUM($H205:I205)-SUM($AL205:AM205)),2)))</f>
        <v>0.0</v>
      </c>
      <c r="K205" s="31">
        <f>AO205+MIN(U204+AE205-AO205,MAX(0,ROUND(ROUND(Долги!$D$19-SUM($AL205:$AU205),2)-(SUM($H205:J205)-SUM($AL205:AN205)),2)))</f>
        <v>0.0</v>
      </c>
      <c r="L205" s="31">
        <f>AP205+MIN(V204+AF205-AP205,MAX(0,ROUND(ROUND(Долги!$D$19-SUM($AL205:$AU205),2)-(SUM($H205:K205)-SUM($AL205:AO205)),2)))</f>
        <v>0.0</v>
      </c>
      <c r="M205" s="31">
        <f>AQ205+MIN(W204+AG205-AQ205,MAX(0,ROUND(ROUND(Долги!$D$19-SUM($AL205:$AU205),2)-(SUM($H205:L205)-SUM($AL205:AP205)),2)))</f>
        <v>0.0</v>
      </c>
      <c r="N205" s="31">
        <f>AR205+MIN(X204+AH205-AR205,MAX(0,ROUND(ROUND(Долги!$D$19-SUM($AL205:$AU205),2)-(SUM($H205:M205)-SUM($AL205:AQ205)),2)))</f>
        <v>0.0</v>
      </c>
      <c r="O205" s="31">
        <f>AS205+MIN(Y204+AI205-AS205,MAX(0,ROUND(ROUND(Долги!$D$19-SUM($AL205:$AU205),2)-(SUM($H205:N205)-SUM($AL205:AR205)),2)))</f>
        <v>0.0</v>
      </c>
      <c r="P205" s="31">
        <f>AT205+MIN(Z204+AJ205-AT205,MAX(0,ROUND(ROUND(Долги!$D$19-SUM($AL205:$AU205),2)-(SUM($H205:O205)-SUM($AL205:AS205)),2)))</f>
        <v>0.0</v>
      </c>
      <c r="Q205" s="31">
        <f>AU205+MIN(AA204+AK205-AU205,MAX(0,ROUND(ROUND(Долги!$D$19-SUM($AL205:$AU205),2)-(SUM($H205:P205)-SUM($AL205:AT205)),2)))</f>
        <v>0.0</v>
      </c>
      <c r="R205" s="31">
        <f>IF(R204+AB205-H205&lt;=0.01,0,ROUND(R204+AB205-H205,2))</f>
        <v>0.0</v>
      </c>
      <c r="S205" s="31">
        <f>IF(S204+AC205-I205&lt;=0.01,0,ROUND(S204+AC205-I205,2))</f>
        <v>0.0</v>
      </c>
      <c r="T205" s="31">
        <f>IF(T204+AD205-J205&lt;=0.01,0,ROUND(T204+AD205-J205,2))</f>
        <v>0.0</v>
      </c>
      <c r="U205" s="31">
        <f>IF(U204+AE205-K205&lt;=0.01,0,ROUND(U204+AE205-K205,2))</f>
        <v>0.0</v>
      </c>
      <c r="V205" s="31">
        <f>IF(V204+AF205-L205&lt;=0.01,0,ROUND(V204+AF205-L205,2))</f>
        <v>0.0</v>
      </c>
      <c r="W205" s="31">
        <f>IF(W204+AG205-M205&lt;=0.01,0,ROUND(W204+AG205-M205,2))</f>
        <v>0.0</v>
      </c>
      <c r="X205" s="31">
        <f>IF(X204+AH205-N205&lt;=0.01,0,ROUND(X204+AH205-N205,2))</f>
        <v>0.0</v>
      </c>
      <c r="Y205" s="31">
        <f>IF(Y204+AI205-O205&lt;=0.01,0,ROUND(Y204+AI205-O205,2))</f>
        <v>0.0</v>
      </c>
      <c r="Z205" s="31">
        <f>IF(Z204+AJ205-P205&lt;=0.01,0,ROUND(Z204+AJ205-P205,2))</f>
        <v>0.0</v>
      </c>
      <c r="AA205" s="31">
        <f>IF(AA204+AK205-Q205&lt;=0.01,0,ROUND(AA204+AK205-Q205,2))</f>
        <v>0.0</v>
      </c>
      <c r="AB205" s="31">
        <f>ROUND(R204*AB$5/1200,2)</f>
        <v>0.0</v>
      </c>
      <c r="AC205" s="31">
        <f>ROUND(S204*AC$5/1200,2)</f>
        <v>0.0</v>
      </c>
      <c r="AD205" s="31">
        <f>ROUND(T204*AD$5/1200,2)</f>
        <v>0.0</v>
      </c>
      <c r="AE205" s="31">
        <f>ROUND(U204*AE$5/1200,2)</f>
        <v>0.0</v>
      </c>
      <c r="AF205" s="31">
        <f>ROUND(V204*AF$5/1200,2)</f>
        <v>0.0</v>
      </c>
      <c r="AG205" s="31">
        <f>ROUND(W204*AG$5/1200,2)</f>
        <v>0.0</v>
      </c>
      <c r="AH205" s="31">
        <f>ROUND(X204*AH$5/1200,2)</f>
        <v>0.0</v>
      </c>
      <c r="AI205" s="31">
        <f>ROUND(Y204*AI$5/1200,2)</f>
        <v>0.0</v>
      </c>
      <c r="AJ205" s="31">
        <f>ROUND(Z204*AJ$5/1200,2)</f>
        <v>0.0</v>
      </c>
      <c r="AK205" s="31">
        <f>ROUND(AA204*AK$5/1200,2)</f>
        <v>0.0</v>
      </c>
      <c r="AL205" s="31">
        <f>MIN(AL$5,R204+AB205)</f>
        <v>0.0</v>
      </c>
      <c r="AM205" s="31">
        <f>MIN(AM$5,S204+AC205)</f>
        <v>0.0</v>
      </c>
      <c r="AN205" s="31">
        <f>MIN(AN$5,T204+AD205)</f>
        <v>0.0</v>
      </c>
      <c r="AO205" s="31">
        <f>MIN(AO$5,U204+AE205)</f>
        <v>0.0</v>
      </c>
      <c r="AP205" s="31">
        <f>MIN(AP$5,V204+AF205)</f>
        <v>0.0</v>
      </c>
      <c r="AQ205" s="31">
        <f>MIN(AQ$5,W204+AG205)</f>
        <v>0.0</v>
      </c>
      <c r="AR205" s="31">
        <f>MIN(AR$5,X204+AH205)</f>
        <v>0.0</v>
      </c>
      <c r="AS205" s="31">
        <f>MIN(AS$5,Y204+AI205)</f>
        <v>0.0</v>
      </c>
      <c r="AT205" s="31">
        <f>MIN(AT$5,Z204+AJ205)</f>
        <v>0.0</v>
      </c>
      <c r="AU205" s="31">
        <f>MIN(AU$5,AA204+AK205)</f>
        <v>0.0</v>
      </c>
    </row>
    <row r="206">
      <c r="A206" s="25" t="str">
        <f>IF(F205&gt;0.005,201,"")</f>
        <v/>
      </c>
      <c r="B206" s="33" t="str">
        <f>IF(A206="","",EDATE(Долги!$D$5,200))</f>
        <v/>
      </c>
      <c r="C206" s="31">
        <f>SUM(H206:Q206)</f>
        <v>0.0</v>
      </c>
      <c r="D206" s="31">
        <f>SUM(AB206:AK206)</f>
        <v>0.0</v>
      </c>
      <c r="E206" s="31">
        <f>C206-D206</f>
        <v>0.0</v>
      </c>
      <c r="F206" s="31">
        <f>SUM(R206:AA206)</f>
        <v>0.0</v>
      </c>
      <c r="G206" s="34" t="str">
        <f>IF(OR(A206="",$F$5&lt;=0),"",REPT("█",ROUND(20*F206/$F$5,0)))</f>
        <v/>
      </c>
      <c r="H206" s="31">
        <f>AL206+MIN(R205+AB206-AL206,MAX(0,ROUND(Долги!$D$19-SUM($AL206:$AU206),2)))</f>
        <v>0.0</v>
      </c>
      <c r="I206" s="31">
        <f>AM206+MIN(S205+AC206-AM206,MAX(0,ROUND(ROUND(Долги!$D$19-SUM($AL206:$AU206),2)-(SUM($H206:H206)-SUM($AL206:AL206)),2)))</f>
        <v>0.0</v>
      </c>
      <c r="J206" s="31">
        <f>AN206+MIN(T205+AD206-AN206,MAX(0,ROUND(ROUND(Долги!$D$19-SUM($AL206:$AU206),2)-(SUM($H206:I206)-SUM($AL206:AM206)),2)))</f>
        <v>0.0</v>
      </c>
      <c r="K206" s="31">
        <f>AO206+MIN(U205+AE206-AO206,MAX(0,ROUND(ROUND(Долги!$D$19-SUM($AL206:$AU206),2)-(SUM($H206:J206)-SUM($AL206:AN206)),2)))</f>
        <v>0.0</v>
      </c>
      <c r="L206" s="31">
        <f>AP206+MIN(V205+AF206-AP206,MAX(0,ROUND(ROUND(Долги!$D$19-SUM($AL206:$AU206),2)-(SUM($H206:K206)-SUM($AL206:AO206)),2)))</f>
        <v>0.0</v>
      </c>
      <c r="M206" s="31">
        <f>AQ206+MIN(W205+AG206-AQ206,MAX(0,ROUND(ROUND(Долги!$D$19-SUM($AL206:$AU206),2)-(SUM($H206:L206)-SUM($AL206:AP206)),2)))</f>
        <v>0.0</v>
      </c>
      <c r="N206" s="31">
        <f>AR206+MIN(X205+AH206-AR206,MAX(0,ROUND(ROUND(Долги!$D$19-SUM($AL206:$AU206),2)-(SUM($H206:M206)-SUM($AL206:AQ206)),2)))</f>
        <v>0.0</v>
      </c>
      <c r="O206" s="31">
        <f>AS206+MIN(Y205+AI206-AS206,MAX(0,ROUND(ROUND(Долги!$D$19-SUM($AL206:$AU206),2)-(SUM($H206:N206)-SUM($AL206:AR206)),2)))</f>
        <v>0.0</v>
      </c>
      <c r="P206" s="31">
        <f>AT206+MIN(Z205+AJ206-AT206,MAX(0,ROUND(ROUND(Долги!$D$19-SUM($AL206:$AU206),2)-(SUM($H206:O206)-SUM($AL206:AS206)),2)))</f>
        <v>0.0</v>
      </c>
      <c r="Q206" s="31">
        <f>AU206+MIN(AA205+AK206-AU206,MAX(0,ROUND(ROUND(Долги!$D$19-SUM($AL206:$AU206),2)-(SUM($H206:P206)-SUM($AL206:AT206)),2)))</f>
        <v>0.0</v>
      </c>
      <c r="R206" s="31">
        <f>IF(R205+AB206-H206&lt;=0.01,0,ROUND(R205+AB206-H206,2))</f>
        <v>0.0</v>
      </c>
      <c r="S206" s="31">
        <f>IF(S205+AC206-I206&lt;=0.01,0,ROUND(S205+AC206-I206,2))</f>
        <v>0.0</v>
      </c>
      <c r="T206" s="31">
        <f>IF(T205+AD206-J206&lt;=0.01,0,ROUND(T205+AD206-J206,2))</f>
        <v>0.0</v>
      </c>
      <c r="U206" s="31">
        <f>IF(U205+AE206-K206&lt;=0.01,0,ROUND(U205+AE206-K206,2))</f>
        <v>0.0</v>
      </c>
      <c r="V206" s="31">
        <f>IF(V205+AF206-L206&lt;=0.01,0,ROUND(V205+AF206-L206,2))</f>
        <v>0.0</v>
      </c>
      <c r="W206" s="31">
        <f>IF(W205+AG206-M206&lt;=0.01,0,ROUND(W205+AG206-M206,2))</f>
        <v>0.0</v>
      </c>
      <c r="X206" s="31">
        <f>IF(X205+AH206-N206&lt;=0.01,0,ROUND(X205+AH206-N206,2))</f>
        <v>0.0</v>
      </c>
      <c r="Y206" s="31">
        <f>IF(Y205+AI206-O206&lt;=0.01,0,ROUND(Y205+AI206-O206,2))</f>
        <v>0.0</v>
      </c>
      <c r="Z206" s="31">
        <f>IF(Z205+AJ206-P206&lt;=0.01,0,ROUND(Z205+AJ206-P206,2))</f>
        <v>0.0</v>
      </c>
      <c r="AA206" s="31">
        <f>IF(AA205+AK206-Q206&lt;=0.01,0,ROUND(AA205+AK206-Q206,2))</f>
        <v>0.0</v>
      </c>
      <c r="AB206" s="31">
        <f>ROUND(R205*AB$5/1200,2)</f>
        <v>0.0</v>
      </c>
      <c r="AC206" s="31">
        <f>ROUND(S205*AC$5/1200,2)</f>
        <v>0.0</v>
      </c>
      <c r="AD206" s="31">
        <f>ROUND(T205*AD$5/1200,2)</f>
        <v>0.0</v>
      </c>
      <c r="AE206" s="31">
        <f>ROUND(U205*AE$5/1200,2)</f>
        <v>0.0</v>
      </c>
      <c r="AF206" s="31">
        <f>ROUND(V205*AF$5/1200,2)</f>
        <v>0.0</v>
      </c>
      <c r="AG206" s="31">
        <f>ROUND(W205*AG$5/1200,2)</f>
        <v>0.0</v>
      </c>
      <c r="AH206" s="31">
        <f>ROUND(X205*AH$5/1200,2)</f>
        <v>0.0</v>
      </c>
      <c r="AI206" s="31">
        <f>ROUND(Y205*AI$5/1200,2)</f>
        <v>0.0</v>
      </c>
      <c r="AJ206" s="31">
        <f>ROUND(Z205*AJ$5/1200,2)</f>
        <v>0.0</v>
      </c>
      <c r="AK206" s="31">
        <f>ROUND(AA205*AK$5/1200,2)</f>
        <v>0.0</v>
      </c>
      <c r="AL206" s="31">
        <f>MIN(AL$5,R205+AB206)</f>
        <v>0.0</v>
      </c>
      <c r="AM206" s="31">
        <f>MIN(AM$5,S205+AC206)</f>
        <v>0.0</v>
      </c>
      <c r="AN206" s="31">
        <f>MIN(AN$5,T205+AD206)</f>
        <v>0.0</v>
      </c>
      <c r="AO206" s="31">
        <f>MIN(AO$5,U205+AE206)</f>
        <v>0.0</v>
      </c>
      <c r="AP206" s="31">
        <f>MIN(AP$5,V205+AF206)</f>
        <v>0.0</v>
      </c>
      <c r="AQ206" s="31">
        <f>MIN(AQ$5,W205+AG206)</f>
        <v>0.0</v>
      </c>
      <c r="AR206" s="31">
        <f>MIN(AR$5,X205+AH206)</f>
        <v>0.0</v>
      </c>
      <c r="AS206" s="31">
        <f>MIN(AS$5,Y205+AI206)</f>
        <v>0.0</v>
      </c>
      <c r="AT206" s="31">
        <f>MIN(AT$5,Z205+AJ206)</f>
        <v>0.0</v>
      </c>
      <c r="AU206" s="31">
        <f>MIN(AU$5,AA205+AK206)</f>
        <v>0.0</v>
      </c>
    </row>
    <row r="207">
      <c r="A207" s="25" t="str">
        <f>IF(F206&gt;0.005,202,"")</f>
        <v/>
      </c>
      <c r="B207" s="33" t="str">
        <f>IF(A207="","",EDATE(Долги!$D$5,201))</f>
        <v/>
      </c>
      <c r="C207" s="31">
        <f>SUM(H207:Q207)</f>
        <v>0.0</v>
      </c>
      <c r="D207" s="31">
        <f>SUM(AB207:AK207)</f>
        <v>0.0</v>
      </c>
      <c r="E207" s="31">
        <f>C207-D207</f>
        <v>0.0</v>
      </c>
      <c r="F207" s="31">
        <f>SUM(R207:AA207)</f>
        <v>0.0</v>
      </c>
      <c r="G207" s="34" t="str">
        <f>IF(OR(A207="",$F$5&lt;=0),"",REPT("█",ROUND(20*F207/$F$5,0)))</f>
        <v/>
      </c>
      <c r="H207" s="31">
        <f>AL207+MIN(R206+AB207-AL207,MAX(0,ROUND(Долги!$D$19-SUM($AL207:$AU207),2)))</f>
        <v>0.0</v>
      </c>
      <c r="I207" s="31">
        <f>AM207+MIN(S206+AC207-AM207,MAX(0,ROUND(ROUND(Долги!$D$19-SUM($AL207:$AU207),2)-(SUM($H207:H207)-SUM($AL207:AL207)),2)))</f>
        <v>0.0</v>
      </c>
      <c r="J207" s="31">
        <f>AN207+MIN(T206+AD207-AN207,MAX(0,ROUND(ROUND(Долги!$D$19-SUM($AL207:$AU207),2)-(SUM($H207:I207)-SUM($AL207:AM207)),2)))</f>
        <v>0.0</v>
      </c>
      <c r="K207" s="31">
        <f>AO207+MIN(U206+AE207-AO207,MAX(0,ROUND(ROUND(Долги!$D$19-SUM($AL207:$AU207),2)-(SUM($H207:J207)-SUM($AL207:AN207)),2)))</f>
        <v>0.0</v>
      </c>
      <c r="L207" s="31">
        <f>AP207+MIN(V206+AF207-AP207,MAX(0,ROUND(ROUND(Долги!$D$19-SUM($AL207:$AU207),2)-(SUM($H207:K207)-SUM($AL207:AO207)),2)))</f>
        <v>0.0</v>
      </c>
      <c r="M207" s="31">
        <f>AQ207+MIN(W206+AG207-AQ207,MAX(0,ROUND(ROUND(Долги!$D$19-SUM($AL207:$AU207),2)-(SUM($H207:L207)-SUM($AL207:AP207)),2)))</f>
        <v>0.0</v>
      </c>
      <c r="N207" s="31">
        <f>AR207+MIN(X206+AH207-AR207,MAX(0,ROUND(ROUND(Долги!$D$19-SUM($AL207:$AU207),2)-(SUM($H207:M207)-SUM($AL207:AQ207)),2)))</f>
        <v>0.0</v>
      </c>
      <c r="O207" s="31">
        <f>AS207+MIN(Y206+AI207-AS207,MAX(0,ROUND(ROUND(Долги!$D$19-SUM($AL207:$AU207),2)-(SUM($H207:N207)-SUM($AL207:AR207)),2)))</f>
        <v>0.0</v>
      </c>
      <c r="P207" s="31">
        <f>AT207+MIN(Z206+AJ207-AT207,MAX(0,ROUND(ROUND(Долги!$D$19-SUM($AL207:$AU207),2)-(SUM($H207:O207)-SUM($AL207:AS207)),2)))</f>
        <v>0.0</v>
      </c>
      <c r="Q207" s="31">
        <f>AU207+MIN(AA206+AK207-AU207,MAX(0,ROUND(ROUND(Долги!$D$19-SUM($AL207:$AU207),2)-(SUM($H207:P207)-SUM($AL207:AT207)),2)))</f>
        <v>0.0</v>
      </c>
      <c r="R207" s="31">
        <f>IF(R206+AB207-H207&lt;=0.01,0,ROUND(R206+AB207-H207,2))</f>
        <v>0.0</v>
      </c>
      <c r="S207" s="31">
        <f>IF(S206+AC207-I207&lt;=0.01,0,ROUND(S206+AC207-I207,2))</f>
        <v>0.0</v>
      </c>
      <c r="T207" s="31">
        <f>IF(T206+AD207-J207&lt;=0.01,0,ROUND(T206+AD207-J207,2))</f>
        <v>0.0</v>
      </c>
      <c r="U207" s="31">
        <f>IF(U206+AE207-K207&lt;=0.01,0,ROUND(U206+AE207-K207,2))</f>
        <v>0.0</v>
      </c>
      <c r="V207" s="31">
        <f>IF(V206+AF207-L207&lt;=0.01,0,ROUND(V206+AF207-L207,2))</f>
        <v>0.0</v>
      </c>
      <c r="W207" s="31">
        <f>IF(W206+AG207-M207&lt;=0.01,0,ROUND(W206+AG207-M207,2))</f>
        <v>0.0</v>
      </c>
      <c r="X207" s="31">
        <f>IF(X206+AH207-N207&lt;=0.01,0,ROUND(X206+AH207-N207,2))</f>
        <v>0.0</v>
      </c>
      <c r="Y207" s="31">
        <f>IF(Y206+AI207-O207&lt;=0.01,0,ROUND(Y206+AI207-O207,2))</f>
        <v>0.0</v>
      </c>
      <c r="Z207" s="31">
        <f>IF(Z206+AJ207-P207&lt;=0.01,0,ROUND(Z206+AJ207-P207,2))</f>
        <v>0.0</v>
      </c>
      <c r="AA207" s="31">
        <f>IF(AA206+AK207-Q207&lt;=0.01,0,ROUND(AA206+AK207-Q207,2))</f>
        <v>0.0</v>
      </c>
      <c r="AB207" s="31">
        <f>ROUND(R206*AB$5/1200,2)</f>
        <v>0.0</v>
      </c>
      <c r="AC207" s="31">
        <f>ROUND(S206*AC$5/1200,2)</f>
        <v>0.0</v>
      </c>
      <c r="AD207" s="31">
        <f>ROUND(T206*AD$5/1200,2)</f>
        <v>0.0</v>
      </c>
      <c r="AE207" s="31">
        <f>ROUND(U206*AE$5/1200,2)</f>
        <v>0.0</v>
      </c>
      <c r="AF207" s="31">
        <f>ROUND(V206*AF$5/1200,2)</f>
        <v>0.0</v>
      </c>
      <c r="AG207" s="31">
        <f>ROUND(W206*AG$5/1200,2)</f>
        <v>0.0</v>
      </c>
      <c r="AH207" s="31">
        <f>ROUND(X206*AH$5/1200,2)</f>
        <v>0.0</v>
      </c>
      <c r="AI207" s="31">
        <f>ROUND(Y206*AI$5/1200,2)</f>
        <v>0.0</v>
      </c>
      <c r="AJ207" s="31">
        <f>ROUND(Z206*AJ$5/1200,2)</f>
        <v>0.0</v>
      </c>
      <c r="AK207" s="31">
        <f>ROUND(AA206*AK$5/1200,2)</f>
        <v>0.0</v>
      </c>
      <c r="AL207" s="31">
        <f>MIN(AL$5,R206+AB207)</f>
        <v>0.0</v>
      </c>
      <c r="AM207" s="31">
        <f>MIN(AM$5,S206+AC207)</f>
        <v>0.0</v>
      </c>
      <c r="AN207" s="31">
        <f>MIN(AN$5,T206+AD207)</f>
        <v>0.0</v>
      </c>
      <c r="AO207" s="31">
        <f>MIN(AO$5,U206+AE207)</f>
        <v>0.0</v>
      </c>
      <c r="AP207" s="31">
        <f>MIN(AP$5,V206+AF207)</f>
        <v>0.0</v>
      </c>
      <c r="AQ207" s="31">
        <f>MIN(AQ$5,W206+AG207)</f>
        <v>0.0</v>
      </c>
      <c r="AR207" s="31">
        <f>MIN(AR$5,X206+AH207)</f>
        <v>0.0</v>
      </c>
      <c r="AS207" s="31">
        <f>MIN(AS$5,Y206+AI207)</f>
        <v>0.0</v>
      </c>
      <c r="AT207" s="31">
        <f>MIN(AT$5,Z206+AJ207)</f>
        <v>0.0</v>
      </c>
      <c r="AU207" s="31">
        <f>MIN(AU$5,AA206+AK207)</f>
        <v>0.0</v>
      </c>
    </row>
    <row r="208">
      <c r="A208" s="25" t="str">
        <f>IF(F207&gt;0.005,203,"")</f>
        <v/>
      </c>
      <c r="B208" s="33" t="str">
        <f>IF(A208="","",EDATE(Долги!$D$5,202))</f>
        <v/>
      </c>
      <c r="C208" s="31">
        <f>SUM(H208:Q208)</f>
        <v>0.0</v>
      </c>
      <c r="D208" s="31">
        <f>SUM(AB208:AK208)</f>
        <v>0.0</v>
      </c>
      <c r="E208" s="31">
        <f>C208-D208</f>
        <v>0.0</v>
      </c>
      <c r="F208" s="31">
        <f>SUM(R208:AA208)</f>
        <v>0.0</v>
      </c>
      <c r="G208" s="34" t="str">
        <f>IF(OR(A208="",$F$5&lt;=0),"",REPT("█",ROUND(20*F208/$F$5,0)))</f>
        <v/>
      </c>
      <c r="H208" s="31">
        <f>AL208+MIN(R207+AB208-AL208,MAX(0,ROUND(Долги!$D$19-SUM($AL208:$AU208),2)))</f>
        <v>0.0</v>
      </c>
      <c r="I208" s="31">
        <f>AM208+MIN(S207+AC208-AM208,MAX(0,ROUND(ROUND(Долги!$D$19-SUM($AL208:$AU208),2)-(SUM($H208:H208)-SUM($AL208:AL208)),2)))</f>
        <v>0.0</v>
      </c>
      <c r="J208" s="31">
        <f>AN208+MIN(T207+AD208-AN208,MAX(0,ROUND(ROUND(Долги!$D$19-SUM($AL208:$AU208),2)-(SUM($H208:I208)-SUM($AL208:AM208)),2)))</f>
        <v>0.0</v>
      </c>
      <c r="K208" s="31">
        <f>AO208+MIN(U207+AE208-AO208,MAX(0,ROUND(ROUND(Долги!$D$19-SUM($AL208:$AU208),2)-(SUM($H208:J208)-SUM($AL208:AN208)),2)))</f>
        <v>0.0</v>
      </c>
      <c r="L208" s="31">
        <f>AP208+MIN(V207+AF208-AP208,MAX(0,ROUND(ROUND(Долги!$D$19-SUM($AL208:$AU208),2)-(SUM($H208:K208)-SUM($AL208:AO208)),2)))</f>
        <v>0.0</v>
      </c>
      <c r="M208" s="31">
        <f>AQ208+MIN(W207+AG208-AQ208,MAX(0,ROUND(ROUND(Долги!$D$19-SUM($AL208:$AU208),2)-(SUM($H208:L208)-SUM($AL208:AP208)),2)))</f>
        <v>0.0</v>
      </c>
      <c r="N208" s="31">
        <f>AR208+MIN(X207+AH208-AR208,MAX(0,ROUND(ROUND(Долги!$D$19-SUM($AL208:$AU208),2)-(SUM($H208:M208)-SUM($AL208:AQ208)),2)))</f>
        <v>0.0</v>
      </c>
      <c r="O208" s="31">
        <f>AS208+MIN(Y207+AI208-AS208,MAX(0,ROUND(ROUND(Долги!$D$19-SUM($AL208:$AU208),2)-(SUM($H208:N208)-SUM($AL208:AR208)),2)))</f>
        <v>0.0</v>
      </c>
      <c r="P208" s="31">
        <f>AT208+MIN(Z207+AJ208-AT208,MAX(0,ROUND(ROUND(Долги!$D$19-SUM($AL208:$AU208),2)-(SUM($H208:O208)-SUM($AL208:AS208)),2)))</f>
        <v>0.0</v>
      </c>
      <c r="Q208" s="31">
        <f>AU208+MIN(AA207+AK208-AU208,MAX(0,ROUND(ROUND(Долги!$D$19-SUM($AL208:$AU208),2)-(SUM($H208:P208)-SUM($AL208:AT208)),2)))</f>
        <v>0.0</v>
      </c>
      <c r="R208" s="31">
        <f>IF(R207+AB208-H208&lt;=0.01,0,ROUND(R207+AB208-H208,2))</f>
        <v>0.0</v>
      </c>
      <c r="S208" s="31">
        <f>IF(S207+AC208-I208&lt;=0.01,0,ROUND(S207+AC208-I208,2))</f>
        <v>0.0</v>
      </c>
      <c r="T208" s="31">
        <f>IF(T207+AD208-J208&lt;=0.01,0,ROUND(T207+AD208-J208,2))</f>
        <v>0.0</v>
      </c>
      <c r="U208" s="31">
        <f>IF(U207+AE208-K208&lt;=0.01,0,ROUND(U207+AE208-K208,2))</f>
        <v>0.0</v>
      </c>
      <c r="V208" s="31">
        <f>IF(V207+AF208-L208&lt;=0.01,0,ROUND(V207+AF208-L208,2))</f>
        <v>0.0</v>
      </c>
      <c r="W208" s="31">
        <f>IF(W207+AG208-M208&lt;=0.01,0,ROUND(W207+AG208-M208,2))</f>
        <v>0.0</v>
      </c>
      <c r="X208" s="31">
        <f>IF(X207+AH208-N208&lt;=0.01,0,ROUND(X207+AH208-N208,2))</f>
        <v>0.0</v>
      </c>
      <c r="Y208" s="31">
        <f>IF(Y207+AI208-O208&lt;=0.01,0,ROUND(Y207+AI208-O208,2))</f>
        <v>0.0</v>
      </c>
      <c r="Z208" s="31">
        <f>IF(Z207+AJ208-P208&lt;=0.01,0,ROUND(Z207+AJ208-P208,2))</f>
        <v>0.0</v>
      </c>
      <c r="AA208" s="31">
        <f>IF(AA207+AK208-Q208&lt;=0.01,0,ROUND(AA207+AK208-Q208,2))</f>
        <v>0.0</v>
      </c>
      <c r="AB208" s="31">
        <f>ROUND(R207*AB$5/1200,2)</f>
        <v>0.0</v>
      </c>
      <c r="AC208" s="31">
        <f>ROUND(S207*AC$5/1200,2)</f>
        <v>0.0</v>
      </c>
      <c r="AD208" s="31">
        <f>ROUND(T207*AD$5/1200,2)</f>
        <v>0.0</v>
      </c>
      <c r="AE208" s="31">
        <f>ROUND(U207*AE$5/1200,2)</f>
        <v>0.0</v>
      </c>
      <c r="AF208" s="31">
        <f>ROUND(V207*AF$5/1200,2)</f>
        <v>0.0</v>
      </c>
      <c r="AG208" s="31">
        <f>ROUND(W207*AG$5/1200,2)</f>
        <v>0.0</v>
      </c>
      <c r="AH208" s="31">
        <f>ROUND(X207*AH$5/1200,2)</f>
        <v>0.0</v>
      </c>
      <c r="AI208" s="31">
        <f>ROUND(Y207*AI$5/1200,2)</f>
        <v>0.0</v>
      </c>
      <c r="AJ208" s="31">
        <f>ROUND(Z207*AJ$5/1200,2)</f>
        <v>0.0</v>
      </c>
      <c r="AK208" s="31">
        <f>ROUND(AA207*AK$5/1200,2)</f>
        <v>0.0</v>
      </c>
      <c r="AL208" s="31">
        <f>MIN(AL$5,R207+AB208)</f>
        <v>0.0</v>
      </c>
      <c r="AM208" s="31">
        <f>MIN(AM$5,S207+AC208)</f>
        <v>0.0</v>
      </c>
      <c r="AN208" s="31">
        <f>MIN(AN$5,T207+AD208)</f>
        <v>0.0</v>
      </c>
      <c r="AO208" s="31">
        <f>MIN(AO$5,U207+AE208)</f>
        <v>0.0</v>
      </c>
      <c r="AP208" s="31">
        <f>MIN(AP$5,V207+AF208)</f>
        <v>0.0</v>
      </c>
      <c r="AQ208" s="31">
        <f>MIN(AQ$5,W207+AG208)</f>
        <v>0.0</v>
      </c>
      <c r="AR208" s="31">
        <f>MIN(AR$5,X207+AH208)</f>
        <v>0.0</v>
      </c>
      <c r="AS208" s="31">
        <f>MIN(AS$5,Y207+AI208)</f>
        <v>0.0</v>
      </c>
      <c r="AT208" s="31">
        <f>MIN(AT$5,Z207+AJ208)</f>
        <v>0.0</v>
      </c>
      <c r="AU208" s="31">
        <f>MIN(AU$5,AA207+AK208)</f>
        <v>0.0</v>
      </c>
    </row>
    <row r="209">
      <c r="A209" s="25" t="str">
        <f>IF(F208&gt;0.005,204,"")</f>
        <v/>
      </c>
      <c r="B209" s="33" t="str">
        <f>IF(A209="","",EDATE(Долги!$D$5,203))</f>
        <v/>
      </c>
      <c r="C209" s="31">
        <f>SUM(H209:Q209)</f>
        <v>0.0</v>
      </c>
      <c r="D209" s="31">
        <f>SUM(AB209:AK209)</f>
        <v>0.0</v>
      </c>
      <c r="E209" s="31">
        <f>C209-D209</f>
        <v>0.0</v>
      </c>
      <c r="F209" s="31">
        <f>SUM(R209:AA209)</f>
        <v>0.0</v>
      </c>
      <c r="G209" s="34" t="str">
        <f>IF(OR(A209="",$F$5&lt;=0),"",REPT("█",ROUND(20*F209/$F$5,0)))</f>
        <v/>
      </c>
      <c r="H209" s="31">
        <f>AL209+MIN(R208+AB209-AL209,MAX(0,ROUND(Долги!$D$19-SUM($AL209:$AU209),2)))</f>
        <v>0.0</v>
      </c>
      <c r="I209" s="31">
        <f>AM209+MIN(S208+AC209-AM209,MAX(0,ROUND(ROUND(Долги!$D$19-SUM($AL209:$AU209),2)-(SUM($H209:H209)-SUM($AL209:AL209)),2)))</f>
        <v>0.0</v>
      </c>
      <c r="J209" s="31">
        <f>AN209+MIN(T208+AD209-AN209,MAX(0,ROUND(ROUND(Долги!$D$19-SUM($AL209:$AU209),2)-(SUM($H209:I209)-SUM($AL209:AM209)),2)))</f>
        <v>0.0</v>
      </c>
      <c r="K209" s="31">
        <f>AO209+MIN(U208+AE209-AO209,MAX(0,ROUND(ROUND(Долги!$D$19-SUM($AL209:$AU209),2)-(SUM($H209:J209)-SUM($AL209:AN209)),2)))</f>
        <v>0.0</v>
      </c>
      <c r="L209" s="31">
        <f>AP209+MIN(V208+AF209-AP209,MAX(0,ROUND(ROUND(Долги!$D$19-SUM($AL209:$AU209),2)-(SUM($H209:K209)-SUM($AL209:AO209)),2)))</f>
        <v>0.0</v>
      </c>
      <c r="M209" s="31">
        <f>AQ209+MIN(W208+AG209-AQ209,MAX(0,ROUND(ROUND(Долги!$D$19-SUM($AL209:$AU209),2)-(SUM($H209:L209)-SUM($AL209:AP209)),2)))</f>
        <v>0.0</v>
      </c>
      <c r="N209" s="31">
        <f>AR209+MIN(X208+AH209-AR209,MAX(0,ROUND(ROUND(Долги!$D$19-SUM($AL209:$AU209),2)-(SUM($H209:M209)-SUM($AL209:AQ209)),2)))</f>
        <v>0.0</v>
      </c>
      <c r="O209" s="31">
        <f>AS209+MIN(Y208+AI209-AS209,MAX(0,ROUND(ROUND(Долги!$D$19-SUM($AL209:$AU209),2)-(SUM($H209:N209)-SUM($AL209:AR209)),2)))</f>
        <v>0.0</v>
      </c>
      <c r="P209" s="31">
        <f>AT209+MIN(Z208+AJ209-AT209,MAX(0,ROUND(ROUND(Долги!$D$19-SUM($AL209:$AU209),2)-(SUM($H209:O209)-SUM($AL209:AS209)),2)))</f>
        <v>0.0</v>
      </c>
      <c r="Q209" s="31">
        <f>AU209+MIN(AA208+AK209-AU209,MAX(0,ROUND(ROUND(Долги!$D$19-SUM($AL209:$AU209),2)-(SUM($H209:P209)-SUM($AL209:AT209)),2)))</f>
        <v>0.0</v>
      </c>
      <c r="R209" s="31">
        <f>IF(R208+AB209-H209&lt;=0.01,0,ROUND(R208+AB209-H209,2))</f>
        <v>0.0</v>
      </c>
      <c r="S209" s="31">
        <f>IF(S208+AC209-I209&lt;=0.01,0,ROUND(S208+AC209-I209,2))</f>
        <v>0.0</v>
      </c>
      <c r="T209" s="31">
        <f>IF(T208+AD209-J209&lt;=0.01,0,ROUND(T208+AD209-J209,2))</f>
        <v>0.0</v>
      </c>
      <c r="U209" s="31">
        <f>IF(U208+AE209-K209&lt;=0.01,0,ROUND(U208+AE209-K209,2))</f>
        <v>0.0</v>
      </c>
      <c r="V209" s="31">
        <f>IF(V208+AF209-L209&lt;=0.01,0,ROUND(V208+AF209-L209,2))</f>
        <v>0.0</v>
      </c>
      <c r="W209" s="31">
        <f>IF(W208+AG209-M209&lt;=0.01,0,ROUND(W208+AG209-M209,2))</f>
        <v>0.0</v>
      </c>
      <c r="X209" s="31">
        <f>IF(X208+AH209-N209&lt;=0.01,0,ROUND(X208+AH209-N209,2))</f>
        <v>0.0</v>
      </c>
      <c r="Y209" s="31">
        <f>IF(Y208+AI209-O209&lt;=0.01,0,ROUND(Y208+AI209-O209,2))</f>
        <v>0.0</v>
      </c>
      <c r="Z209" s="31">
        <f>IF(Z208+AJ209-P209&lt;=0.01,0,ROUND(Z208+AJ209-P209,2))</f>
        <v>0.0</v>
      </c>
      <c r="AA209" s="31">
        <f>IF(AA208+AK209-Q209&lt;=0.01,0,ROUND(AA208+AK209-Q209,2))</f>
        <v>0.0</v>
      </c>
      <c r="AB209" s="31">
        <f>ROUND(R208*AB$5/1200,2)</f>
        <v>0.0</v>
      </c>
      <c r="AC209" s="31">
        <f>ROUND(S208*AC$5/1200,2)</f>
        <v>0.0</v>
      </c>
      <c r="AD209" s="31">
        <f>ROUND(T208*AD$5/1200,2)</f>
        <v>0.0</v>
      </c>
      <c r="AE209" s="31">
        <f>ROUND(U208*AE$5/1200,2)</f>
        <v>0.0</v>
      </c>
      <c r="AF209" s="31">
        <f>ROUND(V208*AF$5/1200,2)</f>
        <v>0.0</v>
      </c>
      <c r="AG209" s="31">
        <f>ROUND(W208*AG$5/1200,2)</f>
        <v>0.0</v>
      </c>
      <c r="AH209" s="31">
        <f>ROUND(X208*AH$5/1200,2)</f>
        <v>0.0</v>
      </c>
      <c r="AI209" s="31">
        <f>ROUND(Y208*AI$5/1200,2)</f>
        <v>0.0</v>
      </c>
      <c r="AJ209" s="31">
        <f>ROUND(Z208*AJ$5/1200,2)</f>
        <v>0.0</v>
      </c>
      <c r="AK209" s="31">
        <f>ROUND(AA208*AK$5/1200,2)</f>
        <v>0.0</v>
      </c>
      <c r="AL209" s="31">
        <f>MIN(AL$5,R208+AB209)</f>
        <v>0.0</v>
      </c>
      <c r="AM209" s="31">
        <f>MIN(AM$5,S208+AC209)</f>
        <v>0.0</v>
      </c>
      <c r="AN209" s="31">
        <f>MIN(AN$5,T208+AD209)</f>
        <v>0.0</v>
      </c>
      <c r="AO209" s="31">
        <f>MIN(AO$5,U208+AE209)</f>
        <v>0.0</v>
      </c>
      <c r="AP209" s="31">
        <f>MIN(AP$5,V208+AF209)</f>
        <v>0.0</v>
      </c>
      <c r="AQ209" s="31">
        <f>MIN(AQ$5,W208+AG209)</f>
        <v>0.0</v>
      </c>
      <c r="AR209" s="31">
        <f>MIN(AR$5,X208+AH209)</f>
        <v>0.0</v>
      </c>
      <c r="AS209" s="31">
        <f>MIN(AS$5,Y208+AI209)</f>
        <v>0.0</v>
      </c>
      <c r="AT209" s="31">
        <f>MIN(AT$5,Z208+AJ209)</f>
        <v>0.0</v>
      </c>
      <c r="AU209" s="31">
        <f>MIN(AU$5,AA208+AK209)</f>
        <v>0.0</v>
      </c>
    </row>
    <row r="210">
      <c r="A210" s="25" t="str">
        <f>IF(F209&gt;0.005,205,"")</f>
        <v/>
      </c>
      <c r="B210" s="33" t="str">
        <f>IF(A210="","",EDATE(Долги!$D$5,204))</f>
        <v/>
      </c>
      <c r="C210" s="31">
        <f>SUM(H210:Q210)</f>
        <v>0.0</v>
      </c>
      <c r="D210" s="31">
        <f>SUM(AB210:AK210)</f>
        <v>0.0</v>
      </c>
      <c r="E210" s="31">
        <f>C210-D210</f>
        <v>0.0</v>
      </c>
      <c r="F210" s="31">
        <f>SUM(R210:AA210)</f>
        <v>0.0</v>
      </c>
      <c r="G210" s="34" t="str">
        <f>IF(OR(A210="",$F$5&lt;=0),"",REPT("█",ROUND(20*F210/$F$5,0)))</f>
        <v/>
      </c>
      <c r="H210" s="31">
        <f>AL210+MIN(R209+AB210-AL210,MAX(0,ROUND(Долги!$D$19-SUM($AL210:$AU210),2)))</f>
        <v>0.0</v>
      </c>
      <c r="I210" s="31">
        <f>AM210+MIN(S209+AC210-AM210,MAX(0,ROUND(ROUND(Долги!$D$19-SUM($AL210:$AU210),2)-(SUM($H210:H210)-SUM($AL210:AL210)),2)))</f>
        <v>0.0</v>
      </c>
      <c r="J210" s="31">
        <f>AN210+MIN(T209+AD210-AN210,MAX(0,ROUND(ROUND(Долги!$D$19-SUM($AL210:$AU210),2)-(SUM($H210:I210)-SUM($AL210:AM210)),2)))</f>
        <v>0.0</v>
      </c>
      <c r="K210" s="31">
        <f>AO210+MIN(U209+AE210-AO210,MAX(0,ROUND(ROUND(Долги!$D$19-SUM($AL210:$AU210),2)-(SUM($H210:J210)-SUM($AL210:AN210)),2)))</f>
        <v>0.0</v>
      </c>
      <c r="L210" s="31">
        <f>AP210+MIN(V209+AF210-AP210,MAX(0,ROUND(ROUND(Долги!$D$19-SUM($AL210:$AU210),2)-(SUM($H210:K210)-SUM($AL210:AO210)),2)))</f>
        <v>0.0</v>
      </c>
      <c r="M210" s="31">
        <f>AQ210+MIN(W209+AG210-AQ210,MAX(0,ROUND(ROUND(Долги!$D$19-SUM($AL210:$AU210),2)-(SUM($H210:L210)-SUM($AL210:AP210)),2)))</f>
        <v>0.0</v>
      </c>
      <c r="N210" s="31">
        <f>AR210+MIN(X209+AH210-AR210,MAX(0,ROUND(ROUND(Долги!$D$19-SUM($AL210:$AU210),2)-(SUM($H210:M210)-SUM($AL210:AQ210)),2)))</f>
        <v>0.0</v>
      </c>
      <c r="O210" s="31">
        <f>AS210+MIN(Y209+AI210-AS210,MAX(0,ROUND(ROUND(Долги!$D$19-SUM($AL210:$AU210),2)-(SUM($H210:N210)-SUM($AL210:AR210)),2)))</f>
        <v>0.0</v>
      </c>
      <c r="P210" s="31">
        <f>AT210+MIN(Z209+AJ210-AT210,MAX(0,ROUND(ROUND(Долги!$D$19-SUM($AL210:$AU210),2)-(SUM($H210:O210)-SUM($AL210:AS210)),2)))</f>
        <v>0.0</v>
      </c>
      <c r="Q210" s="31">
        <f>AU210+MIN(AA209+AK210-AU210,MAX(0,ROUND(ROUND(Долги!$D$19-SUM($AL210:$AU210),2)-(SUM($H210:P210)-SUM($AL210:AT210)),2)))</f>
        <v>0.0</v>
      </c>
      <c r="R210" s="31">
        <f>IF(R209+AB210-H210&lt;=0.01,0,ROUND(R209+AB210-H210,2))</f>
        <v>0.0</v>
      </c>
      <c r="S210" s="31">
        <f>IF(S209+AC210-I210&lt;=0.01,0,ROUND(S209+AC210-I210,2))</f>
        <v>0.0</v>
      </c>
      <c r="T210" s="31">
        <f>IF(T209+AD210-J210&lt;=0.01,0,ROUND(T209+AD210-J210,2))</f>
        <v>0.0</v>
      </c>
      <c r="U210" s="31">
        <f>IF(U209+AE210-K210&lt;=0.01,0,ROUND(U209+AE210-K210,2))</f>
        <v>0.0</v>
      </c>
      <c r="V210" s="31">
        <f>IF(V209+AF210-L210&lt;=0.01,0,ROUND(V209+AF210-L210,2))</f>
        <v>0.0</v>
      </c>
      <c r="W210" s="31">
        <f>IF(W209+AG210-M210&lt;=0.01,0,ROUND(W209+AG210-M210,2))</f>
        <v>0.0</v>
      </c>
      <c r="X210" s="31">
        <f>IF(X209+AH210-N210&lt;=0.01,0,ROUND(X209+AH210-N210,2))</f>
        <v>0.0</v>
      </c>
      <c r="Y210" s="31">
        <f>IF(Y209+AI210-O210&lt;=0.01,0,ROUND(Y209+AI210-O210,2))</f>
        <v>0.0</v>
      </c>
      <c r="Z210" s="31">
        <f>IF(Z209+AJ210-P210&lt;=0.01,0,ROUND(Z209+AJ210-P210,2))</f>
        <v>0.0</v>
      </c>
      <c r="AA210" s="31">
        <f>IF(AA209+AK210-Q210&lt;=0.01,0,ROUND(AA209+AK210-Q210,2))</f>
        <v>0.0</v>
      </c>
      <c r="AB210" s="31">
        <f>ROUND(R209*AB$5/1200,2)</f>
        <v>0.0</v>
      </c>
      <c r="AC210" s="31">
        <f>ROUND(S209*AC$5/1200,2)</f>
        <v>0.0</v>
      </c>
      <c r="AD210" s="31">
        <f>ROUND(T209*AD$5/1200,2)</f>
        <v>0.0</v>
      </c>
      <c r="AE210" s="31">
        <f>ROUND(U209*AE$5/1200,2)</f>
        <v>0.0</v>
      </c>
      <c r="AF210" s="31">
        <f>ROUND(V209*AF$5/1200,2)</f>
        <v>0.0</v>
      </c>
      <c r="AG210" s="31">
        <f>ROUND(W209*AG$5/1200,2)</f>
        <v>0.0</v>
      </c>
      <c r="AH210" s="31">
        <f>ROUND(X209*AH$5/1200,2)</f>
        <v>0.0</v>
      </c>
      <c r="AI210" s="31">
        <f>ROUND(Y209*AI$5/1200,2)</f>
        <v>0.0</v>
      </c>
      <c r="AJ210" s="31">
        <f>ROUND(Z209*AJ$5/1200,2)</f>
        <v>0.0</v>
      </c>
      <c r="AK210" s="31">
        <f>ROUND(AA209*AK$5/1200,2)</f>
        <v>0.0</v>
      </c>
      <c r="AL210" s="31">
        <f>MIN(AL$5,R209+AB210)</f>
        <v>0.0</v>
      </c>
      <c r="AM210" s="31">
        <f>MIN(AM$5,S209+AC210)</f>
        <v>0.0</v>
      </c>
      <c r="AN210" s="31">
        <f>MIN(AN$5,T209+AD210)</f>
        <v>0.0</v>
      </c>
      <c r="AO210" s="31">
        <f>MIN(AO$5,U209+AE210)</f>
        <v>0.0</v>
      </c>
      <c r="AP210" s="31">
        <f>MIN(AP$5,V209+AF210)</f>
        <v>0.0</v>
      </c>
      <c r="AQ210" s="31">
        <f>MIN(AQ$5,W209+AG210)</f>
        <v>0.0</v>
      </c>
      <c r="AR210" s="31">
        <f>MIN(AR$5,X209+AH210)</f>
        <v>0.0</v>
      </c>
      <c r="AS210" s="31">
        <f>MIN(AS$5,Y209+AI210)</f>
        <v>0.0</v>
      </c>
      <c r="AT210" s="31">
        <f>MIN(AT$5,Z209+AJ210)</f>
        <v>0.0</v>
      </c>
      <c r="AU210" s="31">
        <f>MIN(AU$5,AA209+AK210)</f>
        <v>0.0</v>
      </c>
    </row>
    <row r="211">
      <c r="A211" s="25" t="str">
        <f>IF(F210&gt;0.005,206,"")</f>
        <v/>
      </c>
      <c r="B211" s="33" t="str">
        <f>IF(A211="","",EDATE(Долги!$D$5,205))</f>
        <v/>
      </c>
      <c r="C211" s="31">
        <f>SUM(H211:Q211)</f>
        <v>0.0</v>
      </c>
      <c r="D211" s="31">
        <f>SUM(AB211:AK211)</f>
        <v>0.0</v>
      </c>
      <c r="E211" s="31">
        <f>C211-D211</f>
        <v>0.0</v>
      </c>
      <c r="F211" s="31">
        <f>SUM(R211:AA211)</f>
        <v>0.0</v>
      </c>
      <c r="G211" s="34" t="str">
        <f>IF(OR(A211="",$F$5&lt;=0),"",REPT("█",ROUND(20*F211/$F$5,0)))</f>
        <v/>
      </c>
      <c r="H211" s="31">
        <f>AL211+MIN(R210+AB211-AL211,MAX(0,ROUND(Долги!$D$19-SUM($AL211:$AU211),2)))</f>
        <v>0.0</v>
      </c>
      <c r="I211" s="31">
        <f>AM211+MIN(S210+AC211-AM211,MAX(0,ROUND(ROUND(Долги!$D$19-SUM($AL211:$AU211),2)-(SUM($H211:H211)-SUM($AL211:AL211)),2)))</f>
        <v>0.0</v>
      </c>
      <c r="J211" s="31">
        <f>AN211+MIN(T210+AD211-AN211,MAX(0,ROUND(ROUND(Долги!$D$19-SUM($AL211:$AU211),2)-(SUM($H211:I211)-SUM($AL211:AM211)),2)))</f>
        <v>0.0</v>
      </c>
      <c r="K211" s="31">
        <f>AO211+MIN(U210+AE211-AO211,MAX(0,ROUND(ROUND(Долги!$D$19-SUM($AL211:$AU211),2)-(SUM($H211:J211)-SUM($AL211:AN211)),2)))</f>
        <v>0.0</v>
      </c>
      <c r="L211" s="31">
        <f>AP211+MIN(V210+AF211-AP211,MAX(0,ROUND(ROUND(Долги!$D$19-SUM($AL211:$AU211),2)-(SUM($H211:K211)-SUM($AL211:AO211)),2)))</f>
        <v>0.0</v>
      </c>
      <c r="M211" s="31">
        <f>AQ211+MIN(W210+AG211-AQ211,MAX(0,ROUND(ROUND(Долги!$D$19-SUM($AL211:$AU211),2)-(SUM($H211:L211)-SUM($AL211:AP211)),2)))</f>
        <v>0.0</v>
      </c>
      <c r="N211" s="31">
        <f>AR211+MIN(X210+AH211-AR211,MAX(0,ROUND(ROUND(Долги!$D$19-SUM($AL211:$AU211),2)-(SUM($H211:M211)-SUM($AL211:AQ211)),2)))</f>
        <v>0.0</v>
      </c>
      <c r="O211" s="31">
        <f>AS211+MIN(Y210+AI211-AS211,MAX(0,ROUND(ROUND(Долги!$D$19-SUM($AL211:$AU211),2)-(SUM($H211:N211)-SUM($AL211:AR211)),2)))</f>
        <v>0.0</v>
      </c>
      <c r="P211" s="31">
        <f>AT211+MIN(Z210+AJ211-AT211,MAX(0,ROUND(ROUND(Долги!$D$19-SUM($AL211:$AU211),2)-(SUM($H211:O211)-SUM($AL211:AS211)),2)))</f>
        <v>0.0</v>
      </c>
      <c r="Q211" s="31">
        <f>AU211+MIN(AA210+AK211-AU211,MAX(0,ROUND(ROUND(Долги!$D$19-SUM($AL211:$AU211),2)-(SUM($H211:P211)-SUM($AL211:AT211)),2)))</f>
        <v>0.0</v>
      </c>
      <c r="R211" s="31">
        <f>IF(R210+AB211-H211&lt;=0.01,0,ROUND(R210+AB211-H211,2))</f>
        <v>0.0</v>
      </c>
      <c r="S211" s="31">
        <f>IF(S210+AC211-I211&lt;=0.01,0,ROUND(S210+AC211-I211,2))</f>
        <v>0.0</v>
      </c>
      <c r="T211" s="31">
        <f>IF(T210+AD211-J211&lt;=0.01,0,ROUND(T210+AD211-J211,2))</f>
        <v>0.0</v>
      </c>
      <c r="U211" s="31">
        <f>IF(U210+AE211-K211&lt;=0.01,0,ROUND(U210+AE211-K211,2))</f>
        <v>0.0</v>
      </c>
      <c r="V211" s="31">
        <f>IF(V210+AF211-L211&lt;=0.01,0,ROUND(V210+AF211-L211,2))</f>
        <v>0.0</v>
      </c>
      <c r="W211" s="31">
        <f>IF(W210+AG211-M211&lt;=0.01,0,ROUND(W210+AG211-M211,2))</f>
        <v>0.0</v>
      </c>
      <c r="X211" s="31">
        <f>IF(X210+AH211-N211&lt;=0.01,0,ROUND(X210+AH211-N211,2))</f>
        <v>0.0</v>
      </c>
      <c r="Y211" s="31">
        <f>IF(Y210+AI211-O211&lt;=0.01,0,ROUND(Y210+AI211-O211,2))</f>
        <v>0.0</v>
      </c>
      <c r="Z211" s="31">
        <f>IF(Z210+AJ211-P211&lt;=0.01,0,ROUND(Z210+AJ211-P211,2))</f>
        <v>0.0</v>
      </c>
      <c r="AA211" s="31">
        <f>IF(AA210+AK211-Q211&lt;=0.01,0,ROUND(AA210+AK211-Q211,2))</f>
        <v>0.0</v>
      </c>
      <c r="AB211" s="31">
        <f>ROUND(R210*AB$5/1200,2)</f>
        <v>0.0</v>
      </c>
      <c r="AC211" s="31">
        <f>ROUND(S210*AC$5/1200,2)</f>
        <v>0.0</v>
      </c>
      <c r="AD211" s="31">
        <f>ROUND(T210*AD$5/1200,2)</f>
        <v>0.0</v>
      </c>
      <c r="AE211" s="31">
        <f>ROUND(U210*AE$5/1200,2)</f>
        <v>0.0</v>
      </c>
      <c r="AF211" s="31">
        <f>ROUND(V210*AF$5/1200,2)</f>
        <v>0.0</v>
      </c>
      <c r="AG211" s="31">
        <f>ROUND(W210*AG$5/1200,2)</f>
        <v>0.0</v>
      </c>
      <c r="AH211" s="31">
        <f>ROUND(X210*AH$5/1200,2)</f>
        <v>0.0</v>
      </c>
      <c r="AI211" s="31">
        <f>ROUND(Y210*AI$5/1200,2)</f>
        <v>0.0</v>
      </c>
      <c r="AJ211" s="31">
        <f>ROUND(Z210*AJ$5/1200,2)</f>
        <v>0.0</v>
      </c>
      <c r="AK211" s="31">
        <f>ROUND(AA210*AK$5/1200,2)</f>
        <v>0.0</v>
      </c>
      <c r="AL211" s="31">
        <f>MIN(AL$5,R210+AB211)</f>
        <v>0.0</v>
      </c>
      <c r="AM211" s="31">
        <f>MIN(AM$5,S210+AC211)</f>
        <v>0.0</v>
      </c>
      <c r="AN211" s="31">
        <f>MIN(AN$5,T210+AD211)</f>
        <v>0.0</v>
      </c>
      <c r="AO211" s="31">
        <f>MIN(AO$5,U210+AE211)</f>
        <v>0.0</v>
      </c>
      <c r="AP211" s="31">
        <f>MIN(AP$5,V210+AF211)</f>
        <v>0.0</v>
      </c>
      <c r="AQ211" s="31">
        <f>MIN(AQ$5,W210+AG211)</f>
        <v>0.0</v>
      </c>
      <c r="AR211" s="31">
        <f>MIN(AR$5,X210+AH211)</f>
        <v>0.0</v>
      </c>
      <c r="AS211" s="31">
        <f>MIN(AS$5,Y210+AI211)</f>
        <v>0.0</v>
      </c>
      <c r="AT211" s="31">
        <f>MIN(AT$5,Z210+AJ211)</f>
        <v>0.0</v>
      </c>
      <c r="AU211" s="31">
        <f>MIN(AU$5,AA210+AK211)</f>
        <v>0.0</v>
      </c>
    </row>
    <row r="212">
      <c r="A212" s="25" t="str">
        <f>IF(F211&gt;0.005,207,"")</f>
        <v/>
      </c>
      <c r="B212" s="33" t="str">
        <f>IF(A212="","",EDATE(Долги!$D$5,206))</f>
        <v/>
      </c>
      <c r="C212" s="31">
        <f>SUM(H212:Q212)</f>
        <v>0.0</v>
      </c>
      <c r="D212" s="31">
        <f>SUM(AB212:AK212)</f>
        <v>0.0</v>
      </c>
      <c r="E212" s="31">
        <f>C212-D212</f>
        <v>0.0</v>
      </c>
      <c r="F212" s="31">
        <f>SUM(R212:AA212)</f>
        <v>0.0</v>
      </c>
      <c r="G212" s="34" t="str">
        <f>IF(OR(A212="",$F$5&lt;=0),"",REPT("█",ROUND(20*F212/$F$5,0)))</f>
        <v/>
      </c>
      <c r="H212" s="31">
        <f>AL212+MIN(R211+AB212-AL212,MAX(0,ROUND(Долги!$D$19-SUM($AL212:$AU212),2)))</f>
        <v>0.0</v>
      </c>
      <c r="I212" s="31">
        <f>AM212+MIN(S211+AC212-AM212,MAX(0,ROUND(ROUND(Долги!$D$19-SUM($AL212:$AU212),2)-(SUM($H212:H212)-SUM($AL212:AL212)),2)))</f>
        <v>0.0</v>
      </c>
      <c r="J212" s="31">
        <f>AN212+MIN(T211+AD212-AN212,MAX(0,ROUND(ROUND(Долги!$D$19-SUM($AL212:$AU212),2)-(SUM($H212:I212)-SUM($AL212:AM212)),2)))</f>
        <v>0.0</v>
      </c>
      <c r="K212" s="31">
        <f>AO212+MIN(U211+AE212-AO212,MAX(0,ROUND(ROUND(Долги!$D$19-SUM($AL212:$AU212),2)-(SUM($H212:J212)-SUM($AL212:AN212)),2)))</f>
        <v>0.0</v>
      </c>
      <c r="L212" s="31">
        <f>AP212+MIN(V211+AF212-AP212,MAX(0,ROUND(ROUND(Долги!$D$19-SUM($AL212:$AU212),2)-(SUM($H212:K212)-SUM($AL212:AO212)),2)))</f>
        <v>0.0</v>
      </c>
      <c r="M212" s="31">
        <f>AQ212+MIN(W211+AG212-AQ212,MAX(0,ROUND(ROUND(Долги!$D$19-SUM($AL212:$AU212),2)-(SUM($H212:L212)-SUM($AL212:AP212)),2)))</f>
        <v>0.0</v>
      </c>
      <c r="N212" s="31">
        <f>AR212+MIN(X211+AH212-AR212,MAX(0,ROUND(ROUND(Долги!$D$19-SUM($AL212:$AU212),2)-(SUM($H212:M212)-SUM($AL212:AQ212)),2)))</f>
        <v>0.0</v>
      </c>
      <c r="O212" s="31">
        <f>AS212+MIN(Y211+AI212-AS212,MAX(0,ROUND(ROUND(Долги!$D$19-SUM($AL212:$AU212),2)-(SUM($H212:N212)-SUM($AL212:AR212)),2)))</f>
        <v>0.0</v>
      </c>
      <c r="P212" s="31">
        <f>AT212+MIN(Z211+AJ212-AT212,MAX(0,ROUND(ROUND(Долги!$D$19-SUM($AL212:$AU212),2)-(SUM($H212:O212)-SUM($AL212:AS212)),2)))</f>
        <v>0.0</v>
      </c>
      <c r="Q212" s="31">
        <f>AU212+MIN(AA211+AK212-AU212,MAX(0,ROUND(ROUND(Долги!$D$19-SUM($AL212:$AU212),2)-(SUM($H212:P212)-SUM($AL212:AT212)),2)))</f>
        <v>0.0</v>
      </c>
      <c r="R212" s="31">
        <f>IF(R211+AB212-H212&lt;=0.01,0,ROUND(R211+AB212-H212,2))</f>
        <v>0.0</v>
      </c>
      <c r="S212" s="31">
        <f>IF(S211+AC212-I212&lt;=0.01,0,ROUND(S211+AC212-I212,2))</f>
        <v>0.0</v>
      </c>
      <c r="T212" s="31">
        <f>IF(T211+AD212-J212&lt;=0.01,0,ROUND(T211+AD212-J212,2))</f>
        <v>0.0</v>
      </c>
      <c r="U212" s="31">
        <f>IF(U211+AE212-K212&lt;=0.01,0,ROUND(U211+AE212-K212,2))</f>
        <v>0.0</v>
      </c>
      <c r="V212" s="31">
        <f>IF(V211+AF212-L212&lt;=0.01,0,ROUND(V211+AF212-L212,2))</f>
        <v>0.0</v>
      </c>
      <c r="W212" s="31">
        <f>IF(W211+AG212-M212&lt;=0.01,0,ROUND(W211+AG212-M212,2))</f>
        <v>0.0</v>
      </c>
      <c r="X212" s="31">
        <f>IF(X211+AH212-N212&lt;=0.01,0,ROUND(X211+AH212-N212,2))</f>
        <v>0.0</v>
      </c>
      <c r="Y212" s="31">
        <f>IF(Y211+AI212-O212&lt;=0.01,0,ROUND(Y211+AI212-O212,2))</f>
        <v>0.0</v>
      </c>
      <c r="Z212" s="31">
        <f>IF(Z211+AJ212-P212&lt;=0.01,0,ROUND(Z211+AJ212-P212,2))</f>
        <v>0.0</v>
      </c>
      <c r="AA212" s="31">
        <f>IF(AA211+AK212-Q212&lt;=0.01,0,ROUND(AA211+AK212-Q212,2))</f>
        <v>0.0</v>
      </c>
      <c r="AB212" s="31">
        <f>ROUND(R211*AB$5/1200,2)</f>
        <v>0.0</v>
      </c>
      <c r="AC212" s="31">
        <f>ROUND(S211*AC$5/1200,2)</f>
        <v>0.0</v>
      </c>
      <c r="AD212" s="31">
        <f>ROUND(T211*AD$5/1200,2)</f>
        <v>0.0</v>
      </c>
      <c r="AE212" s="31">
        <f>ROUND(U211*AE$5/1200,2)</f>
        <v>0.0</v>
      </c>
      <c r="AF212" s="31">
        <f>ROUND(V211*AF$5/1200,2)</f>
        <v>0.0</v>
      </c>
      <c r="AG212" s="31">
        <f>ROUND(W211*AG$5/1200,2)</f>
        <v>0.0</v>
      </c>
      <c r="AH212" s="31">
        <f>ROUND(X211*AH$5/1200,2)</f>
        <v>0.0</v>
      </c>
      <c r="AI212" s="31">
        <f>ROUND(Y211*AI$5/1200,2)</f>
        <v>0.0</v>
      </c>
      <c r="AJ212" s="31">
        <f>ROUND(Z211*AJ$5/1200,2)</f>
        <v>0.0</v>
      </c>
      <c r="AK212" s="31">
        <f>ROUND(AA211*AK$5/1200,2)</f>
        <v>0.0</v>
      </c>
      <c r="AL212" s="31">
        <f>MIN(AL$5,R211+AB212)</f>
        <v>0.0</v>
      </c>
      <c r="AM212" s="31">
        <f>MIN(AM$5,S211+AC212)</f>
        <v>0.0</v>
      </c>
      <c r="AN212" s="31">
        <f>MIN(AN$5,T211+AD212)</f>
        <v>0.0</v>
      </c>
      <c r="AO212" s="31">
        <f>MIN(AO$5,U211+AE212)</f>
        <v>0.0</v>
      </c>
      <c r="AP212" s="31">
        <f>MIN(AP$5,V211+AF212)</f>
        <v>0.0</v>
      </c>
      <c r="AQ212" s="31">
        <f>MIN(AQ$5,W211+AG212)</f>
        <v>0.0</v>
      </c>
      <c r="AR212" s="31">
        <f>MIN(AR$5,X211+AH212)</f>
        <v>0.0</v>
      </c>
      <c r="AS212" s="31">
        <f>MIN(AS$5,Y211+AI212)</f>
        <v>0.0</v>
      </c>
      <c r="AT212" s="31">
        <f>MIN(AT$5,Z211+AJ212)</f>
        <v>0.0</v>
      </c>
      <c r="AU212" s="31">
        <f>MIN(AU$5,AA211+AK212)</f>
        <v>0.0</v>
      </c>
    </row>
    <row r="213">
      <c r="A213" s="25" t="str">
        <f>IF(F212&gt;0.005,208,"")</f>
        <v/>
      </c>
      <c r="B213" s="33" t="str">
        <f>IF(A213="","",EDATE(Долги!$D$5,207))</f>
        <v/>
      </c>
      <c r="C213" s="31">
        <f>SUM(H213:Q213)</f>
        <v>0.0</v>
      </c>
      <c r="D213" s="31">
        <f>SUM(AB213:AK213)</f>
        <v>0.0</v>
      </c>
      <c r="E213" s="31">
        <f>C213-D213</f>
        <v>0.0</v>
      </c>
      <c r="F213" s="31">
        <f>SUM(R213:AA213)</f>
        <v>0.0</v>
      </c>
      <c r="G213" s="34" t="str">
        <f>IF(OR(A213="",$F$5&lt;=0),"",REPT("█",ROUND(20*F213/$F$5,0)))</f>
        <v/>
      </c>
      <c r="H213" s="31">
        <f>AL213+MIN(R212+AB213-AL213,MAX(0,ROUND(Долги!$D$19-SUM($AL213:$AU213),2)))</f>
        <v>0.0</v>
      </c>
      <c r="I213" s="31">
        <f>AM213+MIN(S212+AC213-AM213,MAX(0,ROUND(ROUND(Долги!$D$19-SUM($AL213:$AU213),2)-(SUM($H213:H213)-SUM($AL213:AL213)),2)))</f>
        <v>0.0</v>
      </c>
      <c r="J213" s="31">
        <f>AN213+MIN(T212+AD213-AN213,MAX(0,ROUND(ROUND(Долги!$D$19-SUM($AL213:$AU213),2)-(SUM($H213:I213)-SUM($AL213:AM213)),2)))</f>
        <v>0.0</v>
      </c>
      <c r="K213" s="31">
        <f>AO213+MIN(U212+AE213-AO213,MAX(0,ROUND(ROUND(Долги!$D$19-SUM($AL213:$AU213),2)-(SUM($H213:J213)-SUM($AL213:AN213)),2)))</f>
        <v>0.0</v>
      </c>
      <c r="L213" s="31">
        <f>AP213+MIN(V212+AF213-AP213,MAX(0,ROUND(ROUND(Долги!$D$19-SUM($AL213:$AU213),2)-(SUM($H213:K213)-SUM($AL213:AO213)),2)))</f>
        <v>0.0</v>
      </c>
      <c r="M213" s="31">
        <f>AQ213+MIN(W212+AG213-AQ213,MAX(0,ROUND(ROUND(Долги!$D$19-SUM($AL213:$AU213),2)-(SUM($H213:L213)-SUM($AL213:AP213)),2)))</f>
        <v>0.0</v>
      </c>
      <c r="N213" s="31">
        <f>AR213+MIN(X212+AH213-AR213,MAX(0,ROUND(ROUND(Долги!$D$19-SUM($AL213:$AU213),2)-(SUM($H213:M213)-SUM($AL213:AQ213)),2)))</f>
        <v>0.0</v>
      </c>
      <c r="O213" s="31">
        <f>AS213+MIN(Y212+AI213-AS213,MAX(0,ROUND(ROUND(Долги!$D$19-SUM($AL213:$AU213),2)-(SUM($H213:N213)-SUM($AL213:AR213)),2)))</f>
        <v>0.0</v>
      </c>
      <c r="P213" s="31">
        <f>AT213+MIN(Z212+AJ213-AT213,MAX(0,ROUND(ROUND(Долги!$D$19-SUM($AL213:$AU213),2)-(SUM($H213:O213)-SUM($AL213:AS213)),2)))</f>
        <v>0.0</v>
      </c>
      <c r="Q213" s="31">
        <f>AU213+MIN(AA212+AK213-AU213,MAX(0,ROUND(ROUND(Долги!$D$19-SUM($AL213:$AU213),2)-(SUM($H213:P213)-SUM($AL213:AT213)),2)))</f>
        <v>0.0</v>
      </c>
      <c r="R213" s="31">
        <f>IF(R212+AB213-H213&lt;=0.01,0,ROUND(R212+AB213-H213,2))</f>
        <v>0.0</v>
      </c>
      <c r="S213" s="31">
        <f>IF(S212+AC213-I213&lt;=0.01,0,ROUND(S212+AC213-I213,2))</f>
        <v>0.0</v>
      </c>
      <c r="T213" s="31">
        <f>IF(T212+AD213-J213&lt;=0.01,0,ROUND(T212+AD213-J213,2))</f>
        <v>0.0</v>
      </c>
      <c r="U213" s="31">
        <f>IF(U212+AE213-K213&lt;=0.01,0,ROUND(U212+AE213-K213,2))</f>
        <v>0.0</v>
      </c>
      <c r="V213" s="31">
        <f>IF(V212+AF213-L213&lt;=0.01,0,ROUND(V212+AF213-L213,2))</f>
        <v>0.0</v>
      </c>
      <c r="W213" s="31">
        <f>IF(W212+AG213-M213&lt;=0.01,0,ROUND(W212+AG213-M213,2))</f>
        <v>0.0</v>
      </c>
      <c r="X213" s="31">
        <f>IF(X212+AH213-N213&lt;=0.01,0,ROUND(X212+AH213-N213,2))</f>
        <v>0.0</v>
      </c>
      <c r="Y213" s="31">
        <f>IF(Y212+AI213-O213&lt;=0.01,0,ROUND(Y212+AI213-O213,2))</f>
        <v>0.0</v>
      </c>
      <c r="Z213" s="31">
        <f>IF(Z212+AJ213-P213&lt;=0.01,0,ROUND(Z212+AJ213-P213,2))</f>
        <v>0.0</v>
      </c>
      <c r="AA213" s="31">
        <f>IF(AA212+AK213-Q213&lt;=0.01,0,ROUND(AA212+AK213-Q213,2))</f>
        <v>0.0</v>
      </c>
      <c r="AB213" s="31">
        <f>ROUND(R212*AB$5/1200,2)</f>
        <v>0.0</v>
      </c>
      <c r="AC213" s="31">
        <f>ROUND(S212*AC$5/1200,2)</f>
        <v>0.0</v>
      </c>
      <c r="AD213" s="31">
        <f>ROUND(T212*AD$5/1200,2)</f>
        <v>0.0</v>
      </c>
      <c r="AE213" s="31">
        <f>ROUND(U212*AE$5/1200,2)</f>
        <v>0.0</v>
      </c>
      <c r="AF213" s="31">
        <f>ROUND(V212*AF$5/1200,2)</f>
        <v>0.0</v>
      </c>
      <c r="AG213" s="31">
        <f>ROUND(W212*AG$5/1200,2)</f>
        <v>0.0</v>
      </c>
      <c r="AH213" s="31">
        <f>ROUND(X212*AH$5/1200,2)</f>
        <v>0.0</v>
      </c>
      <c r="AI213" s="31">
        <f>ROUND(Y212*AI$5/1200,2)</f>
        <v>0.0</v>
      </c>
      <c r="AJ213" s="31">
        <f>ROUND(Z212*AJ$5/1200,2)</f>
        <v>0.0</v>
      </c>
      <c r="AK213" s="31">
        <f>ROUND(AA212*AK$5/1200,2)</f>
        <v>0.0</v>
      </c>
      <c r="AL213" s="31">
        <f>MIN(AL$5,R212+AB213)</f>
        <v>0.0</v>
      </c>
      <c r="AM213" s="31">
        <f>MIN(AM$5,S212+AC213)</f>
        <v>0.0</v>
      </c>
      <c r="AN213" s="31">
        <f>MIN(AN$5,T212+AD213)</f>
        <v>0.0</v>
      </c>
      <c r="AO213" s="31">
        <f>MIN(AO$5,U212+AE213)</f>
        <v>0.0</v>
      </c>
      <c r="AP213" s="31">
        <f>MIN(AP$5,V212+AF213)</f>
        <v>0.0</v>
      </c>
      <c r="AQ213" s="31">
        <f>MIN(AQ$5,W212+AG213)</f>
        <v>0.0</v>
      </c>
      <c r="AR213" s="31">
        <f>MIN(AR$5,X212+AH213)</f>
        <v>0.0</v>
      </c>
      <c r="AS213" s="31">
        <f>MIN(AS$5,Y212+AI213)</f>
        <v>0.0</v>
      </c>
      <c r="AT213" s="31">
        <f>MIN(AT$5,Z212+AJ213)</f>
        <v>0.0</v>
      </c>
      <c r="AU213" s="31">
        <f>MIN(AU$5,AA212+AK213)</f>
        <v>0.0</v>
      </c>
    </row>
    <row r="214">
      <c r="A214" s="25" t="str">
        <f>IF(F213&gt;0.005,209,"")</f>
        <v/>
      </c>
      <c r="B214" s="33" t="str">
        <f>IF(A214="","",EDATE(Долги!$D$5,208))</f>
        <v/>
      </c>
      <c r="C214" s="31">
        <f>SUM(H214:Q214)</f>
        <v>0.0</v>
      </c>
      <c r="D214" s="31">
        <f>SUM(AB214:AK214)</f>
        <v>0.0</v>
      </c>
      <c r="E214" s="31">
        <f>C214-D214</f>
        <v>0.0</v>
      </c>
      <c r="F214" s="31">
        <f>SUM(R214:AA214)</f>
        <v>0.0</v>
      </c>
      <c r="G214" s="34" t="str">
        <f>IF(OR(A214="",$F$5&lt;=0),"",REPT("█",ROUND(20*F214/$F$5,0)))</f>
        <v/>
      </c>
      <c r="H214" s="31">
        <f>AL214+MIN(R213+AB214-AL214,MAX(0,ROUND(Долги!$D$19-SUM($AL214:$AU214),2)))</f>
        <v>0.0</v>
      </c>
      <c r="I214" s="31">
        <f>AM214+MIN(S213+AC214-AM214,MAX(0,ROUND(ROUND(Долги!$D$19-SUM($AL214:$AU214),2)-(SUM($H214:H214)-SUM($AL214:AL214)),2)))</f>
        <v>0.0</v>
      </c>
      <c r="J214" s="31">
        <f>AN214+MIN(T213+AD214-AN214,MAX(0,ROUND(ROUND(Долги!$D$19-SUM($AL214:$AU214),2)-(SUM($H214:I214)-SUM($AL214:AM214)),2)))</f>
        <v>0.0</v>
      </c>
      <c r="K214" s="31">
        <f>AO214+MIN(U213+AE214-AO214,MAX(0,ROUND(ROUND(Долги!$D$19-SUM($AL214:$AU214),2)-(SUM($H214:J214)-SUM($AL214:AN214)),2)))</f>
        <v>0.0</v>
      </c>
      <c r="L214" s="31">
        <f>AP214+MIN(V213+AF214-AP214,MAX(0,ROUND(ROUND(Долги!$D$19-SUM($AL214:$AU214),2)-(SUM($H214:K214)-SUM($AL214:AO214)),2)))</f>
        <v>0.0</v>
      </c>
      <c r="M214" s="31">
        <f>AQ214+MIN(W213+AG214-AQ214,MAX(0,ROUND(ROUND(Долги!$D$19-SUM($AL214:$AU214),2)-(SUM($H214:L214)-SUM($AL214:AP214)),2)))</f>
        <v>0.0</v>
      </c>
      <c r="N214" s="31">
        <f>AR214+MIN(X213+AH214-AR214,MAX(0,ROUND(ROUND(Долги!$D$19-SUM($AL214:$AU214),2)-(SUM($H214:M214)-SUM($AL214:AQ214)),2)))</f>
        <v>0.0</v>
      </c>
      <c r="O214" s="31">
        <f>AS214+MIN(Y213+AI214-AS214,MAX(0,ROUND(ROUND(Долги!$D$19-SUM($AL214:$AU214),2)-(SUM($H214:N214)-SUM($AL214:AR214)),2)))</f>
        <v>0.0</v>
      </c>
      <c r="P214" s="31">
        <f>AT214+MIN(Z213+AJ214-AT214,MAX(0,ROUND(ROUND(Долги!$D$19-SUM($AL214:$AU214),2)-(SUM($H214:O214)-SUM($AL214:AS214)),2)))</f>
        <v>0.0</v>
      </c>
      <c r="Q214" s="31">
        <f>AU214+MIN(AA213+AK214-AU214,MAX(0,ROUND(ROUND(Долги!$D$19-SUM($AL214:$AU214),2)-(SUM($H214:P214)-SUM($AL214:AT214)),2)))</f>
        <v>0.0</v>
      </c>
      <c r="R214" s="31">
        <f>IF(R213+AB214-H214&lt;=0.01,0,ROUND(R213+AB214-H214,2))</f>
        <v>0.0</v>
      </c>
      <c r="S214" s="31">
        <f>IF(S213+AC214-I214&lt;=0.01,0,ROUND(S213+AC214-I214,2))</f>
        <v>0.0</v>
      </c>
      <c r="T214" s="31">
        <f>IF(T213+AD214-J214&lt;=0.01,0,ROUND(T213+AD214-J214,2))</f>
        <v>0.0</v>
      </c>
      <c r="U214" s="31">
        <f>IF(U213+AE214-K214&lt;=0.01,0,ROUND(U213+AE214-K214,2))</f>
        <v>0.0</v>
      </c>
      <c r="V214" s="31">
        <f>IF(V213+AF214-L214&lt;=0.01,0,ROUND(V213+AF214-L214,2))</f>
        <v>0.0</v>
      </c>
      <c r="W214" s="31">
        <f>IF(W213+AG214-M214&lt;=0.01,0,ROUND(W213+AG214-M214,2))</f>
        <v>0.0</v>
      </c>
      <c r="X214" s="31">
        <f>IF(X213+AH214-N214&lt;=0.01,0,ROUND(X213+AH214-N214,2))</f>
        <v>0.0</v>
      </c>
      <c r="Y214" s="31">
        <f>IF(Y213+AI214-O214&lt;=0.01,0,ROUND(Y213+AI214-O214,2))</f>
        <v>0.0</v>
      </c>
      <c r="Z214" s="31">
        <f>IF(Z213+AJ214-P214&lt;=0.01,0,ROUND(Z213+AJ214-P214,2))</f>
        <v>0.0</v>
      </c>
      <c r="AA214" s="31">
        <f>IF(AA213+AK214-Q214&lt;=0.01,0,ROUND(AA213+AK214-Q214,2))</f>
        <v>0.0</v>
      </c>
      <c r="AB214" s="31">
        <f>ROUND(R213*AB$5/1200,2)</f>
        <v>0.0</v>
      </c>
      <c r="AC214" s="31">
        <f>ROUND(S213*AC$5/1200,2)</f>
        <v>0.0</v>
      </c>
      <c r="AD214" s="31">
        <f>ROUND(T213*AD$5/1200,2)</f>
        <v>0.0</v>
      </c>
      <c r="AE214" s="31">
        <f>ROUND(U213*AE$5/1200,2)</f>
        <v>0.0</v>
      </c>
      <c r="AF214" s="31">
        <f>ROUND(V213*AF$5/1200,2)</f>
        <v>0.0</v>
      </c>
      <c r="AG214" s="31">
        <f>ROUND(W213*AG$5/1200,2)</f>
        <v>0.0</v>
      </c>
      <c r="AH214" s="31">
        <f>ROUND(X213*AH$5/1200,2)</f>
        <v>0.0</v>
      </c>
      <c r="AI214" s="31">
        <f>ROUND(Y213*AI$5/1200,2)</f>
        <v>0.0</v>
      </c>
      <c r="AJ214" s="31">
        <f>ROUND(Z213*AJ$5/1200,2)</f>
        <v>0.0</v>
      </c>
      <c r="AK214" s="31">
        <f>ROUND(AA213*AK$5/1200,2)</f>
        <v>0.0</v>
      </c>
      <c r="AL214" s="31">
        <f>MIN(AL$5,R213+AB214)</f>
        <v>0.0</v>
      </c>
      <c r="AM214" s="31">
        <f>MIN(AM$5,S213+AC214)</f>
        <v>0.0</v>
      </c>
      <c r="AN214" s="31">
        <f>MIN(AN$5,T213+AD214)</f>
        <v>0.0</v>
      </c>
      <c r="AO214" s="31">
        <f>MIN(AO$5,U213+AE214)</f>
        <v>0.0</v>
      </c>
      <c r="AP214" s="31">
        <f>MIN(AP$5,V213+AF214)</f>
        <v>0.0</v>
      </c>
      <c r="AQ214" s="31">
        <f>MIN(AQ$5,W213+AG214)</f>
        <v>0.0</v>
      </c>
      <c r="AR214" s="31">
        <f>MIN(AR$5,X213+AH214)</f>
        <v>0.0</v>
      </c>
      <c r="AS214" s="31">
        <f>MIN(AS$5,Y213+AI214)</f>
        <v>0.0</v>
      </c>
      <c r="AT214" s="31">
        <f>MIN(AT$5,Z213+AJ214)</f>
        <v>0.0</v>
      </c>
      <c r="AU214" s="31">
        <f>MIN(AU$5,AA213+AK214)</f>
        <v>0.0</v>
      </c>
    </row>
    <row r="215">
      <c r="A215" s="25" t="str">
        <f>IF(F214&gt;0.005,210,"")</f>
        <v/>
      </c>
      <c r="B215" s="33" t="str">
        <f>IF(A215="","",EDATE(Долги!$D$5,209))</f>
        <v/>
      </c>
      <c r="C215" s="31">
        <f>SUM(H215:Q215)</f>
        <v>0.0</v>
      </c>
      <c r="D215" s="31">
        <f>SUM(AB215:AK215)</f>
        <v>0.0</v>
      </c>
      <c r="E215" s="31">
        <f>C215-D215</f>
        <v>0.0</v>
      </c>
      <c r="F215" s="31">
        <f>SUM(R215:AA215)</f>
        <v>0.0</v>
      </c>
      <c r="G215" s="34" t="str">
        <f>IF(OR(A215="",$F$5&lt;=0),"",REPT("█",ROUND(20*F215/$F$5,0)))</f>
        <v/>
      </c>
      <c r="H215" s="31">
        <f>AL215+MIN(R214+AB215-AL215,MAX(0,ROUND(Долги!$D$19-SUM($AL215:$AU215),2)))</f>
        <v>0.0</v>
      </c>
      <c r="I215" s="31">
        <f>AM215+MIN(S214+AC215-AM215,MAX(0,ROUND(ROUND(Долги!$D$19-SUM($AL215:$AU215),2)-(SUM($H215:H215)-SUM($AL215:AL215)),2)))</f>
        <v>0.0</v>
      </c>
      <c r="J215" s="31">
        <f>AN215+MIN(T214+AD215-AN215,MAX(0,ROUND(ROUND(Долги!$D$19-SUM($AL215:$AU215),2)-(SUM($H215:I215)-SUM($AL215:AM215)),2)))</f>
        <v>0.0</v>
      </c>
      <c r="K215" s="31">
        <f>AO215+MIN(U214+AE215-AO215,MAX(0,ROUND(ROUND(Долги!$D$19-SUM($AL215:$AU215),2)-(SUM($H215:J215)-SUM($AL215:AN215)),2)))</f>
        <v>0.0</v>
      </c>
      <c r="L215" s="31">
        <f>AP215+MIN(V214+AF215-AP215,MAX(0,ROUND(ROUND(Долги!$D$19-SUM($AL215:$AU215),2)-(SUM($H215:K215)-SUM($AL215:AO215)),2)))</f>
        <v>0.0</v>
      </c>
      <c r="M215" s="31">
        <f>AQ215+MIN(W214+AG215-AQ215,MAX(0,ROUND(ROUND(Долги!$D$19-SUM($AL215:$AU215),2)-(SUM($H215:L215)-SUM($AL215:AP215)),2)))</f>
        <v>0.0</v>
      </c>
      <c r="N215" s="31">
        <f>AR215+MIN(X214+AH215-AR215,MAX(0,ROUND(ROUND(Долги!$D$19-SUM($AL215:$AU215),2)-(SUM($H215:M215)-SUM($AL215:AQ215)),2)))</f>
        <v>0.0</v>
      </c>
      <c r="O215" s="31">
        <f>AS215+MIN(Y214+AI215-AS215,MAX(0,ROUND(ROUND(Долги!$D$19-SUM($AL215:$AU215),2)-(SUM($H215:N215)-SUM($AL215:AR215)),2)))</f>
        <v>0.0</v>
      </c>
      <c r="P215" s="31">
        <f>AT215+MIN(Z214+AJ215-AT215,MAX(0,ROUND(ROUND(Долги!$D$19-SUM($AL215:$AU215),2)-(SUM($H215:O215)-SUM($AL215:AS215)),2)))</f>
        <v>0.0</v>
      </c>
      <c r="Q215" s="31">
        <f>AU215+MIN(AA214+AK215-AU215,MAX(0,ROUND(ROUND(Долги!$D$19-SUM($AL215:$AU215),2)-(SUM($H215:P215)-SUM($AL215:AT215)),2)))</f>
        <v>0.0</v>
      </c>
      <c r="R215" s="31">
        <f>IF(R214+AB215-H215&lt;=0.01,0,ROUND(R214+AB215-H215,2))</f>
        <v>0.0</v>
      </c>
      <c r="S215" s="31">
        <f>IF(S214+AC215-I215&lt;=0.01,0,ROUND(S214+AC215-I215,2))</f>
        <v>0.0</v>
      </c>
      <c r="T215" s="31">
        <f>IF(T214+AD215-J215&lt;=0.01,0,ROUND(T214+AD215-J215,2))</f>
        <v>0.0</v>
      </c>
      <c r="U215" s="31">
        <f>IF(U214+AE215-K215&lt;=0.01,0,ROUND(U214+AE215-K215,2))</f>
        <v>0.0</v>
      </c>
      <c r="V215" s="31">
        <f>IF(V214+AF215-L215&lt;=0.01,0,ROUND(V214+AF215-L215,2))</f>
        <v>0.0</v>
      </c>
      <c r="W215" s="31">
        <f>IF(W214+AG215-M215&lt;=0.01,0,ROUND(W214+AG215-M215,2))</f>
        <v>0.0</v>
      </c>
      <c r="X215" s="31">
        <f>IF(X214+AH215-N215&lt;=0.01,0,ROUND(X214+AH215-N215,2))</f>
        <v>0.0</v>
      </c>
      <c r="Y215" s="31">
        <f>IF(Y214+AI215-O215&lt;=0.01,0,ROUND(Y214+AI215-O215,2))</f>
        <v>0.0</v>
      </c>
      <c r="Z215" s="31">
        <f>IF(Z214+AJ215-P215&lt;=0.01,0,ROUND(Z214+AJ215-P215,2))</f>
        <v>0.0</v>
      </c>
      <c r="AA215" s="31">
        <f>IF(AA214+AK215-Q215&lt;=0.01,0,ROUND(AA214+AK215-Q215,2))</f>
        <v>0.0</v>
      </c>
      <c r="AB215" s="31">
        <f>ROUND(R214*AB$5/1200,2)</f>
        <v>0.0</v>
      </c>
      <c r="AC215" s="31">
        <f>ROUND(S214*AC$5/1200,2)</f>
        <v>0.0</v>
      </c>
      <c r="AD215" s="31">
        <f>ROUND(T214*AD$5/1200,2)</f>
        <v>0.0</v>
      </c>
      <c r="AE215" s="31">
        <f>ROUND(U214*AE$5/1200,2)</f>
        <v>0.0</v>
      </c>
      <c r="AF215" s="31">
        <f>ROUND(V214*AF$5/1200,2)</f>
        <v>0.0</v>
      </c>
      <c r="AG215" s="31">
        <f>ROUND(W214*AG$5/1200,2)</f>
        <v>0.0</v>
      </c>
      <c r="AH215" s="31">
        <f>ROUND(X214*AH$5/1200,2)</f>
        <v>0.0</v>
      </c>
      <c r="AI215" s="31">
        <f>ROUND(Y214*AI$5/1200,2)</f>
        <v>0.0</v>
      </c>
      <c r="AJ215" s="31">
        <f>ROUND(Z214*AJ$5/1200,2)</f>
        <v>0.0</v>
      </c>
      <c r="AK215" s="31">
        <f>ROUND(AA214*AK$5/1200,2)</f>
        <v>0.0</v>
      </c>
      <c r="AL215" s="31">
        <f>MIN(AL$5,R214+AB215)</f>
        <v>0.0</v>
      </c>
      <c r="AM215" s="31">
        <f>MIN(AM$5,S214+AC215)</f>
        <v>0.0</v>
      </c>
      <c r="AN215" s="31">
        <f>MIN(AN$5,T214+AD215)</f>
        <v>0.0</v>
      </c>
      <c r="AO215" s="31">
        <f>MIN(AO$5,U214+AE215)</f>
        <v>0.0</v>
      </c>
      <c r="AP215" s="31">
        <f>MIN(AP$5,V214+AF215)</f>
        <v>0.0</v>
      </c>
      <c r="AQ215" s="31">
        <f>MIN(AQ$5,W214+AG215)</f>
        <v>0.0</v>
      </c>
      <c r="AR215" s="31">
        <f>MIN(AR$5,X214+AH215)</f>
        <v>0.0</v>
      </c>
      <c r="AS215" s="31">
        <f>MIN(AS$5,Y214+AI215)</f>
        <v>0.0</v>
      </c>
      <c r="AT215" s="31">
        <f>MIN(AT$5,Z214+AJ215)</f>
        <v>0.0</v>
      </c>
      <c r="AU215" s="31">
        <f>MIN(AU$5,AA214+AK215)</f>
        <v>0.0</v>
      </c>
    </row>
    <row r="216">
      <c r="A216" s="25" t="str">
        <f>IF(F215&gt;0.005,211,"")</f>
        <v/>
      </c>
      <c r="B216" s="33" t="str">
        <f>IF(A216="","",EDATE(Долги!$D$5,210))</f>
        <v/>
      </c>
      <c r="C216" s="31">
        <f>SUM(H216:Q216)</f>
        <v>0.0</v>
      </c>
      <c r="D216" s="31">
        <f>SUM(AB216:AK216)</f>
        <v>0.0</v>
      </c>
      <c r="E216" s="31">
        <f>C216-D216</f>
        <v>0.0</v>
      </c>
      <c r="F216" s="31">
        <f>SUM(R216:AA216)</f>
        <v>0.0</v>
      </c>
      <c r="G216" s="34" t="str">
        <f>IF(OR(A216="",$F$5&lt;=0),"",REPT("█",ROUND(20*F216/$F$5,0)))</f>
        <v/>
      </c>
      <c r="H216" s="31">
        <f>AL216+MIN(R215+AB216-AL216,MAX(0,ROUND(Долги!$D$19-SUM($AL216:$AU216),2)))</f>
        <v>0.0</v>
      </c>
      <c r="I216" s="31">
        <f>AM216+MIN(S215+AC216-AM216,MAX(0,ROUND(ROUND(Долги!$D$19-SUM($AL216:$AU216),2)-(SUM($H216:H216)-SUM($AL216:AL216)),2)))</f>
        <v>0.0</v>
      </c>
      <c r="J216" s="31">
        <f>AN216+MIN(T215+AD216-AN216,MAX(0,ROUND(ROUND(Долги!$D$19-SUM($AL216:$AU216),2)-(SUM($H216:I216)-SUM($AL216:AM216)),2)))</f>
        <v>0.0</v>
      </c>
      <c r="K216" s="31">
        <f>AO216+MIN(U215+AE216-AO216,MAX(0,ROUND(ROUND(Долги!$D$19-SUM($AL216:$AU216),2)-(SUM($H216:J216)-SUM($AL216:AN216)),2)))</f>
        <v>0.0</v>
      </c>
      <c r="L216" s="31">
        <f>AP216+MIN(V215+AF216-AP216,MAX(0,ROUND(ROUND(Долги!$D$19-SUM($AL216:$AU216),2)-(SUM($H216:K216)-SUM($AL216:AO216)),2)))</f>
        <v>0.0</v>
      </c>
      <c r="M216" s="31">
        <f>AQ216+MIN(W215+AG216-AQ216,MAX(0,ROUND(ROUND(Долги!$D$19-SUM($AL216:$AU216),2)-(SUM($H216:L216)-SUM($AL216:AP216)),2)))</f>
        <v>0.0</v>
      </c>
      <c r="N216" s="31">
        <f>AR216+MIN(X215+AH216-AR216,MAX(0,ROUND(ROUND(Долги!$D$19-SUM($AL216:$AU216),2)-(SUM($H216:M216)-SUM($AL216:AQ216)),2)))</f>
        <v>0.0</v>
      </c>
      <c r="O216" s="31">
        <f>AS216+MIN(Y215+AI216-AS216,MAX(0,ROUND(ROUND(Долги!$D$19-SUM($AL216:$AU216),2)-(SUM($H216:N216)-SUM($AL216:AR216)),2)))</f>
        <v>0.0</v>
      </c>
      <c r="P216" s="31">
        <f>AT216+MIN(Z215+AJ216-AT216,MAX(0,ROUND(ROUND(Долги!$D$19-SUM($AL216:$AU216),2)-(SUM($H216:O216)-SUM($AL216:AS216)),2)))</f>
        <v>0.0</v>
      </c>
      <c r="Q216" s="31">
        <f>AU216+MIN(AA215+AK216-AU216,MAX(0,ROUND(ROUND(Долги!$D$19-SUM($AL216:$AU216),2)-(SUM($H216:P216)-SUM($AL216:AT216)),2)))</f>
        <v>0.0</v>
      </c>
      <c r="R216" s="31">
        <f>IF(R215+AB216-H216&lt;=0.01,0,ROUND(R215+AB216-H216,2))</f>
        <v>0.0</v>
      </c>
      <c r="S216" s="31">
        <f>IF(S215+AC216-I216&lt;=0.01,0,ROUND(S215+AC216-I216,2))</f>
        <v>0.0</v>
      </c>
      <c r="T216" s="31">
        <f>IF(T215+AD216-J216&lt;=0.01,0,ROUND(T215+AD216-J216,2))</f>
        <v>0.0</v>
      </c>
      <c r="U216" s="31">
        <f>IF(U215+AE216-K216&lt;=0.01,0,ROUND(U215+AE216-K216,2))</f>
        <v>0.0</v>
      </c>
      <c r="V216" s="31">
        <f>IF(V215+AF216-L216&lt;=0.01,0,ROUND(V215+AF216-L216,2))</f>
        <v>0.0</v>
      </c>
      <c r="W216" s="31">
        <f>IF(W215+AG216-M216&lt;=0.01,0,ROUND(W215+AG216-M216,2))</f>
        <v>0.0</v>
      </c>
      <c r="X216" s="31">
        <f>IF(X215+AH216-N216&lt;=0.01,0,ROUND(X215+AH216-N216,2))</f>
        <v>0.0</v>
      </c>
      <c r="Y216" s="31">
        <f>IF(Y215+AI216-O216&lt;=0.01,0,ROUND(Y215+AI216-O216,2))</f>
        <v>0.0</v>
      </c>
      <c r="Z216" s="31">
        <f>IF(Z215+AJ216-P216&lt;=0.01,0,ROUND(Z215+AJ216-P216,2))</f>
        <v>0.0</v>
      </c>
      <c r="AA216" s="31">
        <f>IF(AA215+AK216-Q216&lt;=0.01,0,ROUND(AA215+AK216-Q216,2))</f>
        <v>0.0</v>
      </c>
      <c r="AB216" s="31">
        <f>ROUND(R215*AB$5/1200,2)</f>
        <v>0.0</v>
      </c>
      <c r="AC216" s="31">
        <f>ROUND(S215*AC$5/1200,2)</f>
        <v>0.0</v>
      </c>
      <c r="AD216" s="31">
        <f>ROUND(T215*AD$5/1200,2)</f>
        <v>0.0</v>
      </c>
      <c r="AE216" s="31">
        <f>ROUND(U215*AE$5/1200,2)</f>
        <v>0.0</v>
      </c>
      <c r="AF216" s="31">
        <f>ROUND(V215*AF$5/1200,2)</f>
        <v>0.0</v>
      </c>
      <c r="AG216" s="31">
        <f>ROUND(W215*AG$5/1200,2)</f>
        <v>0.0</v>
      </c>
      <c r="AH216" s="31">
        <f>ROUND(X215*AH$5/1200,2)</f>
        <v>0.0</v>
      </c>
      <c r="AI216" s="31">
        <f>ROUND(Y215*AI$5/1200,2)</f>
        <v>0.0</v>
      </c>
      <c r="AJ216" s="31">
        <f>ROUND(Z215*AJ$5/1200,2)</f>
        <v>0.0</v>
      </c>
      <c r="AK216" s="31">
        <f>ROUND(AA215*AK$5/1200,2)</f>
        <v>0.0</v>
      </c>
      <c r="AL216" s="31">
        <f>MIN(AL$5,R215+AB216)</f>
        <v>0.0</v>
      </c>
      <c r="AM216" s="31">
        <f>MIN(AM$5,S215+AC216)</f>
        <v>0.0</v>
      </c>
      <c r="AN216" s="31">
        <f>MIN(AN$5,T215+AD216)</f>
        <v>0.0</v>
      </c>
      <c r="AO216" s="31">
        <f>MIN(AO$5,U215+AE216)</f>
        <v>0.0</v>
      </c>
      <c r="AP216" s="31">
        <f>MIN(AP$5,V215+AF216)</f>
        <v>0.0</v>
      </c>
      <c r="AQ216" s="31">
        <f>MIN(AQ$5,W215+AG216)</f>
        <v>0.0</v>
      </c>
      <c r="AR216" s="31">
        <f>MIN(AR$5,X215+AH216)</f>
        <v>0.0</v>
      </c>
      <c r="AS216" s="31">
        <f>MIN(AS$5,Y215+AI216)</f>
        <v>0.0</v>
      </c>
      <c r="AT216" s="31">
        <f>MIN(AT$5,Z215+AJ216)</f>
        <v>0.0</v>
      </c>
      <c r="AU216" s="31">
        <f>MIN(AU$5,AA215+AK216)</f>
        <v>0.0</v>
      </c>
    </row>
    <row r="217">
      <c r="A217" s="25" t="str">
        <f>IF(F216&gt;0.005,212,"")</f>
        <v/>
      </c>
      <c r="B217" s="33" t="str">
        <f>IF(A217="","",EDATE(Долги!$D$5,211))</f>
        <v/>
      </c>
      <c r="C217" s="31">
        <f>SUM(H217:Q217)</f>
        <v>0.0</v>
      </c>
      <c r="D217" s="31">
        <f>SUM(AB217:AK217)</f>
        <v>0.0</v>
      </c>
      <c r="E217" s="31">
        <f>C217-D217</f>
        <v>0.0</v>
      </c>
      <c r="F217" s="31">
        <f>SUM(R217:AA217)</f>
        <v>0.0</v>
      </c>
      <c r="G217" s="34" t="str">
        <f>IF(OR(A217="",$F$5&lt;=0),"",REPT("█",ROUND(20*F217/$F$5,0)))</f>
        <v/>
      </c>
      <c r="H217" s="31">
        <f>AL217+MIN(R216+AB217-AL217,MAX(0,ROUND(Долги!$D$19-SUM($AL217:$AU217),2)))</f>
        <v>0.0</v>
      </c>
      <c r="I217" s="31">
        <f>AM217+MIN(S216+AC217-AM217,MAX(0,ROUND(ROUND(Долги!$D$19-SUM($AL217:$AU217),2)-(SUM($H217:H217)-SUM($AL217:AL217)),2)))</f>
        <v>0.0</v>
      </c>
      <c r="J217" s="31">
        <f>AN217+MIN(T216+AD217-AN217,MAX(0,ROUND(ROUND(Долги!$D$19-SUM($AL217:$AU217),2)-(SUM($H217:I217)-SUM($AL217:AM217)),2)))</f>
        <v>0.0</v>
      </c>
      <c r="K217" s="31">
        <f>AO217+MIN(U216+AE217-AO217,MAX(0,ROUND(ROUND(Долги!$D$19-SUM($AL217:$AU217),2)-(SUM($H217:J217)-SUM($AL217:AN217)),2)))</f>
        <v>0.0</v>
      </c>
      <c r="L217" s="31">
        <f>AP217+MIN(V216+AF217-AP217,MAX(0,ROUND(ROUND(Долги!$D$19-SUM($AL217:$AU217),2)-(SUM($H217:K217)-SUM($AL217:AO217)),2)))</f>
        <v>0.0</v>
      </c>
      <c r="M217" s="31">
        <f>AQ217+MIN(W216+AG217-AQ217,MAX(0,ROUND(ROUND(Долги!$D$19-SUM($AL217:$AU217),2)-(SUM($H217:L217)-SUM($AL217:AP217)),2)))</f>
        <v>0.0</v>
      </c>
      <c r="N217" s="31">
        <f>AR217+MIN(X216+AH217-AR217,MAX(0,ROUND(ROUND(Долги!$D$19-SUM($AL217:$AU217),2)-(SUM($H217:M217)-SUM($AL217:AQ217)),2)))</f>
        <v>0.0</v>
      </c>
      <c r="O217" s="31">
        <f>AS217+MIN(Y216+AI217-AS217,MAX(0,ROUND(ROUND(Долги!$D$19-SUM($AL217:$AU217),2)-(SUM($H217:N217)-SUM($AL217:AR217)),2)))</f>
        <v>0.0</v>
      </c>
      <c r="P217" s="31">
        <f>AT217+MIN(Z216+AJ217-AT217,MAX(0,ROUND(ROUND(Долги!$D$19-SUM($AL217:$AU217),2)-(SUM($H217:O217)-SUM($AL217:AS217)),2)))</f>
        <v>0.0</v>
      </c>
      <c r="Q217" s="31">
        <f>AU217+MIN(AA216+AK217-AU217,MAX(0,ROUND(ROUND(Долги!$D$19-SUM($AL217:$AU217),2)-(SUM($H217:P217)-SUM($AL217:AT217)),2)))</f>
        <v>0.0</v>
      </c>
      <c r="R217" s="31">
        <f>IF(R216+AB217-H217&lt;=0.01,0,ROUND(R216+AB217-H217,2))</f>
        <v>0.0</v>
      </c>
      <c r="S217" s="31">
        <f>IF(S216+AC217-I217&lt;=0.01,0,ROUND(S216+AC217-I217,2))</f>
        <v>0.0</v>
      </c>
      <c r="T217" s="31">
        <f>IF(T216+AD217-J217&lt;=0.01,0,ROUND(T216+AD217-J217,2))</f>
        <v>0.0</v>
      </c>
      <c r="U217" s="31">
        <f>IF(U216+AE217-K217&lt;=0.01,0,ROUND(U216+AE217-K217,2))</f>
        <v>0.0</v>
      </c>
      <c r="V217" s="31">
        <f>IF(V216+AF217-L217&lt;=0.01,0,ROUND(V216+AF217-L217,2))</f>
        <v>0.0</v>
      </c>
      <c r="W217" s="31">
        <f>IF(W216+AG217-M217&lt;=0.01,0,ROUND(W216+AG217-M217,2))</f>
        <v>0.0</v>
      </c>
      <c r="X217" s="31">
        <f>IF(X216+AH217-N217&lt;=0.01,0,ROUND(X216+AH217-N217,2))</f>
        <v>0.0</v>
      </c>
      <c r="Y217" s="31">
        <f>IF(Y216+AI217-O217&lt;=0.01,0,ROUND(Y216+AI217-O217,2))</f>
        <v>0.0</v>
      </c>
      <c r="Z217" s="31">
        <f>IF(Z216+AJ217-P217&lt;=0.01,0,ROUND(Z216+AJ217-P217,2))</f>
        <v>0.0</v>
      </c>
      <c r="AA217" s="31">
        <f>IF(AA216+AK217-Q217&lt;=0.01,0,ROUND(AA216+AK217-Q217,2))</f>
        <v>0.0</v>
      </c>
      <c r="AB217" s="31">
        <f>ROUND(R216*AB$5/1200,2)</f>
        <v>0.0</v>
      </c>
      <c r="AC217" s="31">
        <f>ROUND(S216*AC$5/1200,2)</f>
        <v>0.0</v>
      </c>
      <c r="AD217" s="31">
        <f>ROUND(T216*AD$5/1200,2)</f>
        <v>0.0</v>
      </c>
      <c r="AE217" s="31">
        <f>ROUND(U216*AE$5/1200,2)</f>
        <v>0.0</v>
      </c>
      <c r="AF217" s="31">
        <f>ROUND(V216*AF$5/1200,2)</f>
        <v>0.0</v>
      </c>
      <c r="AG217" s="31">
        <f>ROUND(W216*AG$5/1200,2)</f>
        <v>0.0</v>
      </c>
      <c r="AH217" s="31">
        <f>ROUND(X216*AH$5/1200,2)</f>
        <v>0.0</v>
      </c>
      <c r="AI217" s="31">
        <f>ROUND(Y216*AI$5/1200,2)</f>
        <v>0.0</v>
      </c>
      <c r="AJ217" s="31">
        <f>ROUND(Z216*AJ$5/1200,2)</f>
        <v>0.0</v>
      </c>
      <c r="AK217" s="31">
        <f>ROUND(AA216*AK$5/1200,2)</f>
        <v>0.0</v>
      </c>
      <c r="AL217" s="31">
        <f>MIN(AL$5,R216+AB217)</f>
        <v>0.0</v>
      </c>
      <c r="AM217" s="31">
        <f>MIN(AM$5,S216+AC217)</f>
        <v>0.0</v>
      </c>
      <c r="AN217" s="31">
        <f>MIN(AN$5,T216+AD217)</f>
        <v>0.0</v>
      </c>
      <c r="AO217" s="31">
        <f>MIN(AO$5,U216+AE217)</f>
        <v>0.0</v>
      </c>
      <c r="AP217" s="31">
        <f>MIN(AP$5,V216+AF217)</f>
        <v>0.0</v>
      </c>
      <c r="AQ217" s="31">
        <f>MIN(AQ$5,W216+AG217)</f>
        <v>0.0</v>
      </c>
      <c r="AR217" s="31">
        <f>MIN(AR$5,X216+AH217)</f>
        <v>0.0</v>
      </c>
      <c r="AS217" s="31">
        <f>MIN(AS$5,Y216+AI217)</f>
        <v>0.0</v>
      </c>
      <c r="AT217" s="31">
        <f>MIN(AT$5,Z216+AJ217)</f>
        <v>0.0</v>
      </c>
      <c r="AU217" s="31">
        <f>MIN(AU$5,AA216+AK217)</f>
        <v>0.0</v>
      </c>
    </row>
    <row r="218">
      <c r="A218" s="25" t="str">
        <f>IF(F217&gt;0.005,213,"")</f>
        <v/>
      </c>
      <c r="B218" s="33" t="str">
        <f>IF(A218="","",EDATE(Долги!$D$5,212))</f>
        <v/>
      </c>
      <c r="C218" s="31">
        <f>SUM(H218:Q218)</f>
        <v>0.0</v>
      </c>
      <c r="D218" s="31">
        <f>SUM(AB218:AK218)</f>
        <v>0.0</v>
      </c>
      <c r="E218" s="31">
        <f>C218-D218</f>
        <v>0.0</v>
      </c>
      <c r="F218" s="31">
        <f>SUM(R218:AA218)</f>
        <v>0.0</v>
      </c>
      <c r="G218" s="34" t="str">
        <f>IF(OR(A218="",$F$5&lt;=0),"",REPT("█",ROUND(20*F218/$F$5,0)))</f>
        <v/>
      </c>
      <c r="H218" s="31">
        <f>AL218+MIN(R217+AB218-AL218,MAX(0,ROUND(Долги!$D$19-SUM($AL218:$AU218),2)))</f>
        <v>0.0</v>
      </c>
      <c r="I218" s="31">
        <f>AM218+MIN(S217+AC218-AM218,MAX(0,ROUND(ROUND(Долги!$D$19-SUM($AL218:$AU218),2)-(SUM($H218:H218)-SUM($AL218:AL218)),2)))</f>
        <v>0.0</v>
      </c>
      <c r="J218" s="31">
        <f>AN218+MIN(T217+AD218-AN218,MAX(0,ROUND(ROUND(Долги!$D$19-SUM($AL218:$AU218),2)-(SUM($H218:I218)-SUM($AL218:AM218)),2)))</f>
        <v>0.0</v>
      </c>
      <c r="K218" s="31">
        <f>AO218+MIN(U217+AE218-AO218,MAX(0,ROUND(ROUND(Долги!$D$19-SUM($AL218:$AU218),2)-(SUM($H218:J218)-SUM($AL218:AN218)),2)))</f>
        <v>0.0</v>
      </c>
      <c r="L218" s="31">
        <f>AP218+MIN(V217+AF218-AP218,MAX(0,ROUND(ROUND(Долги!$D$19-SUM($AL218:$AU218),2)-(SUM($H218:K218)-SUM($AL218:AO218)),2)))</f>
        <v>0.0</v>
      </c>
      <c r="M218" s="31">
        <f>AQ218+MIN(W217+AG218-AQ218,MAX(0,ROUND(ROUND(Долги!$D$19-SUM($AL218:$AU218),2)-(SUM($H218:L218)-SUM($AL218:AP218)),2)))</f>
        <v>0.0</v>
      </c>
      <c r="N218" s="31">
        <f>AR218+MIN(X217+AH218-AR218,MAX(0,ROUND(ROUND(Долги!$D$19-SUM($AL218:$AU218),2)-(SUM($H218:M218)-SUM($AL218:AQ218)),2)))</f>
        <v>0.0</v>
      </c>
      <c r="O218" s="31">
        <f>AS218+MIN(Y217+AI218-AS218,MAX(0,ROUND(ROUND(Долги!$D$19-SUM($AL218:$AU218),2)-(SUM($H218:N218)-SUM($AL218:AR218)),2)))</f>
        <v>0.0</v>
      </c>
      <c r="P218" s="31">
        <f>AT218+MIN(Z217+AJ218-AT218,MAX(0,ROUND(ROUND(Долги!$D$19-SUM($AL218:$AU218),2)-(SUM($H218:O218)-SUM($AL218:AS218)),2)))</f>
        <v>0.0</v>
      </c>
      <c r="Q218" s="31">
        <f>AU218+MIN(AA217+AK218-AU218,MAX(0,ROUND(ROUND(Долги!$D$19-SUM($AL218:$AU218),2)-(SUM($H218:P218)-SUM($AL218:AT218)),2)))</f>
        <v>0.0</v>
      </c>
      <c r="R218" s="31">
        <f>IF(R217+AB218-H218&lt;=0.01,0,ROUND(R217+AB218-H218,2))</f>
        <v>0.0</v>
      </c>
      <c r="S218" s="31">
        <f>IF(S217+AC218-I218&lt;=0.01,0,ROUND(S217+AC218-I218,2))</f>
        <v>0.0</v>
      </c>
      <c r="T218" s="31">
        <f>IF(T217+AD218-J218&lt;=0.01,0,ROUND(T217+AD218-J218,2))</f>
        <v>0.0</v>
      </c>
      <c r="U218" s="31">
        <f>IF(U217+AE218-K218&lt;=0.01,0,ROUND(U217+AE218-K218,2))</f>
        <v>0.0</v>
      </c>
      <c r="V218" s="31">
        <f>IF(V217+AF218-L218&lt;=0.01,0,ROUND(V217+AF218-L218,2))</f>
        <v>0.0</v>
      </c>
      <c r="W218" s="31">
        <f>IF(W217+AG218-M218&lt;=0.01,0,ROUND(W217+AG218-M218,2))</f>
        <v>0.0</v>
      </c>
      <c r="X218" s="31">
        <f>IF(X217+AH218-N218&lt;=0.01,0,ROUND(X217+AH218-N218,2))</f>
        <v>0.0</v>
      </c>
      <c r="Y218" s="31">
        <f>IF(Y217+AI218-O218&lt;=0.01,0,ROUND(Y217+AI218-O218,2))</f>
        <v>0.0</v>
      </c>
      <c r="Z218" s="31">
        <f>IF(Z217+AJ218-P218&lt;=0.01,0,ROUND(Z217+AJ218-P218,2))</f>
        <v>0.0</v>
      </c>
      <c r="AA218" s="31">
        <f>IF(AA217+AK218-Q218&lt;=0.01,0,ROUND(AA217+AK218-Q218,2))</f>
        <v>0.0</v>
      </c>
      <c r="AB218" s="31">
        <f>ROUND(R217*AB$5/1200,2)</f>
        <v>0.0</v>
      </c>
      <c r="AC218" s="31">
        <f>ROUND(S217*AC$5/1200,2)</f>
        <v>0.0</v>
      </c>
      <c r="AD218" s="31">
        <f>ROUND(T217*AD$5/1200,2)</f>
        <v>0.0</v>
      </c>
      <c r="AE218" s="31">
        <f>ROUND(U217*AE$5/1200,2)</f>
        <v>0.0</v>
      </c>
      <c r="AF218" s="31">
        <f>ROUND(V217*AF$5/1200,2)</f>
        <v>0.0</v>
      </c>
      <c r="AG218" s="31">
        <f>ROUND(W217*AG$5/1200,2)</f>
        <v>0.0</v>
      </c>
      <c r="AH218" s="31">
        <f>ROUND(X217*AH$5/1200,2)</f>
        <v>0.0</v>
      </c>
      <c r="AI218" s="31">
        <f>ROUND(Y217*AI$5/1200,2)</f>
        <v>0.0</v>
      </c>
      <c r="AJ218" s="31">
        <f>ROUND(Z217*AJ$5/1200,2)</f>
        <v>0.0</v>
      </c>
      <c r="AK218" s="31">
        <f>ROUND(AA217*AK$5/1200,2)</f>
        <v>0.0</v>
      </c>
      <c r="AL218" s="31">
        <f>MIN(AL$5,R217+AB218)</f>
        <v>0.0</v>
      </c>
      <c r="AM218" s="31">
        <f>MIN(AM$5,S217+AC218)</f>
        <v>0.0</v>
      </c>
      <c r="AN218" s="31">
        <f>MIN(AN$5,T217+AD218)</f>
        <v>0.0</v>
      </c>
      <c r="AO218" s="31">
        <f>MIN(AO$5,U217+AE218)</f>
        <v>0.0</v>
      </c>
      <c r="AP218" s="31">
        <f>MIN(AP$5,V217+AF218)</f>
        <v>0.0</v>
      </c>
      <c r="AQ218" s="31">
        <f>MIN(AQ$5,W217+AG218)</f>
        <v>0.0</v>
      </c>
      <c r="AR218" s="31">
        <f>MIN(AR$5,X217+AH218)</f>
        <v>0.0</v>
      </c>
      <c r="AS218" s="31">
        <f>MIN(AS$5,Y217+AI218)</f>
        <v>0.0</v>
      </c>
      <c r="AT218" s="31">
        <f>MIN(AT$5,Z217+AJ218)</f>
        <v>0.0</v>
      </c>
      <c r="AU218" s="31">
        <f>MIN(AU$5,AA217+AK218)</f>
        <v>0.0</v>
      </c>
    </row>
    <row r="219">
      <c r="A219" s="25" t="str">
        <f>IF(F218&gt;0.005,214,"")</f>
        <v/>
      </c>
      <c r="B219" s="33" t="str">
        <f>IF(A219="","",EDATE(Долги!$D$5,213))</f>
        <v/>
      </c>
      <c r="C219" s="31">
        <f>SUM(H219:Q219)</f>
        <v>0.0</v>
      </c>
      <c r="D219" s="31">
        <f>SUM(AB219:AK219)</f>
        <v>0.0</v>
      </c>
      <c r="E219" s="31">
        <f>C219-D219</f>
        <v>0.0</v>
      </c>
      <c r="F219" s="31">
        <f>SUM(R219:AA219)</f>
        <v>0.0</v>
      </c>
      <c r="G219" s="34" t="str">
        <f>IF(OR(A219="",$F$5&lt;=0),"",REPT("█",ROUND(20*F219/$F$5,0)))</f>
        <v/>
      </c>
      <c r="H219" s="31">
        <f>AL219+MIN(R218+AB219-AL219,MAX(0,ROUND(Долги!$D$19-SUM($AL219:$AU219),2)))</f>
        <v>0.0</v>
      </c>
      <c r="I219" s="31">
        <f>AM219+MIN(S218+AC219-AM219,MAX(0,ROUND(ROUND(Долги!$D$19-SUM($AL219:$AU219),2)-(SUM($H219:H219)-SUM($AL219:AL219)),2)))</f>
        <v>0.0</v>
      </c>
      <c r="J219" s="31">
        <f>AN219+MIN(T218+AD219-AN219,MAX(0,ROUND(ROUND(Долги!$D$19-SUM($AL219:$AU219),2)-(SUM($H219:I219)-SUM($AL219:AM219)),2)))</f>
        <v>0.0</v>
      </c>
      <c r="K219" s="31">
        <f>AO219+MIN(U218+AE219-AO219,MAX(0,ROUND(ROUND(Долги!$D$19-SUM($AL219:$AU219),2)-(SUM($H219:J219)-SUM($AL219:AN219)),2)))</f>
        <v>0.0</v>
      </c>
      <c r="L219" s="31">
        <f>AP219+MIN(V218+AF219-AP219,MAX(0,ROUND(ROUND(Долги!$D$19-SUM($AL219:$AU219),2)-(SUM($H219:K219)-SUM($AL219:AO219)),2)))</f>
        <v>0.0</v>
      </c>
      <c r="M219" s="31">
        <f>AQ219+MIN(W218+AG219-AQ219,MAX(0,ROUND(ROUND(Долги!$D$19-SUM($AL219:$AU219),2)-(SUM($H219:L219)-SUM($AL219:AP219)),2)))</f>
        <v>0.0</v>
      </c>
      <c r="N219" s="31">
        <f>AR219+MIN(X218+AH219-AR219,MAX(0,ROUND(ROUND(Долги!$D$19-SUM($AL219:$AU219),2)-(SUM($H219:M219)-SUM($AL219:AQ219)),2)))</f>
        <v>0.0</v>
      </c>
      <c r="O219" s="31">
        <f>AS219+MIN(Y218+AI219-AS219,MAX(0,ROUND(ROUND(Долги!$D$19-SUM($AL219:$AU219),2)-(SUM($H219:N219)-SUM($AL219:AR219)),2)))</f>
        <v>0.0</v>
      </c>
      <c r="P219" s="31">
        <f>AT219+MIN(Z218+AJ219-AT219,MAX(0,ROUND(ROUND(Долги!$D$19-SUM($AL219:$AU219),2)-(SUM($H219:O219)-SUM($AL219:AS219)),2)))</f>
        <v>0.0</v>
      </c>
      <c r="Q219" s="31">
        <f>AU219+MIN(AA218+AK219-AU219,MAX(0,ROUND(ROUND(Долги!$D$19-SUM($AL219:$AU219),2)-(SUM($H219:P219)-SUM($AL219:AT219)),2)))</f>
        <v>0.0</v>
      </c>
      <c r="R219" s="31">
        <f>IF(R218+AB219-H219&lt;=0.01,0,ROUND(R218+AB219-H219,2))</f>
        <v>0.0</v>
      </c>
      <c r="S219" s="31">
        <f>IF(S218+AC219-I219&lt;=0.01,0,ROUND(S218+AC219-I219,2))</f>
        <v>0.0</v>
      </c>
      <c r="T219" s="31">
        <f>IF(T218+AD219-J219&lt;=0.01,0,ROUND(T218+AD219-J219,2))</f>
        <v>0.0</v>
      </c>
      <c r="U219" s="31">
        <f>IF(U218+AE219-K219&lt;=0.01,0,ROUND(U218+AE219-K219,2))</f>
        <v>0.0</v>
      </c>
      <c r="V219" s="31">
        <f>IF(V218+AF219-L219&lt;=0.01,0,ROUND(V218+AF219-L219,2))</f>
        <v>0.0</v>
      </c>
      <c r="W219" s="31">
        <f>IF(W218+AG219-M219&lt;=0.01,0,ROUND(W218+AG219-M219,2))</f>
        <v>0.0</v>
      </c>
      <c r="X219" s="31">
        <f>IF(X218+AH219-N219&lt;=0.01,0,ROUND(X218+AH219-N219,2))</f>
        <v>0.0</v>
      </c>
      <c r="Y219" s="31">
        <f>IF(Y218+AI219-O219&lt;=0.01,0,ROUND(Y218+AI219-O219,2))</f>
        <v>0.0</v>
      </c>
      <c r="Z219" s="31">
        <f>IF(Z218+AJ219-P219&lt;=0.01,0,ROUND(Z218+AJ219-P219,2))</f>
        <v>0.0</v>
      </c>
      <c r="AA219" s="31">
        <f>IF(AA218+AK219-Q219&lt;=0.01,0,ROUND(AA218+AK219-Q219,2))</f>
        <v>0.0</v>
      </c>
      <c r="AB219" s="31">
        <f>ROUND(R218*AB$5/1200,2)</f>
        <v>0.0</v>
      </c>
      <c r="AC219" s="31">
        <f>ROUND(S218*AC$5/1200,2)</f>
        <v>0.0</v>
      </c>
      <c r="AD219" s="31">
        <f>ROUND(T218*AD$5/1200,2)</f>
        <v>0.0</v>
      </c>
      <c r="AE219" s="31">
        <f>ROUND(U218*AE$5/1200,2)</f>
        <v>0.0</v>
      </c>
      <c r="AF219" s="31">
        <f>ROUND(V218*AF$5/1200,2)</f>
        <v>0.0</v>
      </c>
      <c r="AG219" s="31">
        <f>ROUND(W218*AG$5/1200,2)</f>
        <v>0.0</v>
      </c>
      <c r="AH219" s="31">
        <f>ROUND(X218*AH$5/1200,2)</f>
        <v>0.0</v>
      </c>
      <c r="AI219" s="31">
        <f>ROUND(Y218*AI$5/1200,2)</f>
        <v>0.0</v>
      </c>
      <c r="AJ219" s="31">
        <f>ROUND(Z218*AJ$5/1200,2)</f>
        <v>0.0</v>
      </c>
      <c r="AK219" s="31">
        <f>ROUND(AA218*AK$5/1200,2)</f>
        <v>0.0</v>
      </c>
      <c r="AL219" s="31">
        <f>MIN(AL$5,R218+AB219)</f>
        <v>0.0</v>
      </c>
      <c r="AM219" s="31">
        <f>MIN(AM$5,S218+AC219)</f>
        <v>0.0</v>
      </c>
      <c r="AN219" s="31">
        <f>MIN(AN$5,T218+AD219)</f>
        <v>0.0</v>
      </c>
      <c r="AO219" s="31">
        <f>MIN(AO$5,U218+AE219)</f>
        <v>0.0</v>
      </c>
      <c r="AP219" s="31">
        <f>MIN(AP$5,V218+AF219)</f>
        <v>0.0</v>
      </c>
      <c r="AQ219" s="31">
        <f>MIN(AQ$5,W218+AG219)</f>
        <v>0.0</v>
      </c>
      <c r="AR219" s="31">
        <f>MIN(AR$5,X218+AH219)</f>
        <v>0.0</v>
      </c>
      <c r="AS219" s="31">
        <f>MIN(AS$5,Y218+AI219)</f>
        <v>0.0</v>
      </c>
      <c r="AT219" s="31">
        <f>MIN(AT$5,Z218+AJ219)</f>
        <v>0.0</v>
      </c>
      <c r="AU219" s="31">
        <f>MIN(AU$5,AA218+AK219)</f>
        <v>0.0</v>
      </c>
    </row>
    <row r="220">
      <c r="A220" s="25" t="str">
        <f>IF(F219&gt;0.005,215,"")</f>
        <v/>
      </c>
      <c r="B220" s="33" t="str">
        <f>IF(A220="","",EDATE(Долги!$D$5,214))</f>
        <v/>
      </c>
      <c r="C220" s="31">
        <f>SUM(H220:Q220)</f>
        <v>0.0</v>
      </c>
      <c r="D220" s="31">
        <f>SUM(AB220:AK220)</f>
        <v>0.0</v>
      </c>
      <c r="E220" s="31">
        <f>C220-D220</f>
        <v>0.0</v>
      </c>
      <c r="F220" s="31">
        <f>SUM(R220:AA220)</f>
        <v>0.0</v>
      </c>
      <c r="G220" s="34" t="str">
        <f>IF(OR(A220="",$F$5&lt;=0),"",REPT("█",ROUND(20*F220/$F$5,0)))</f>
        <v/>
      </c>
      <c r="H220" s="31">
        <f>AL220+MIN(R219+AB220-AL220,MAX(0,ROUND(Долги!$D$19-SUM($AL220:$AU220),2)))</f>
        <v>0.0</v>
      </c>
      <c r="I220" s="31">
        <f>AM220+MIN(S219+AC220-AM220,MAX(0,ROUND(ROUND(Долги!$D$19-SUM($AL220:$AU220),2)-(SUM($H220:H220)-SUM($AL220:AL220)),2)))</f>
        <v>0.0</v>
      </c>
      <c r="J220" s="31">
        <f>AN220+MIN(T219+AD220-AN220,MAX(0,ROUND(ROUND(Долги!$D$19-SUM($AL220:$AU220),2)-(SUM($H220:I220)-SUM($AL220:AM220)),2)))</f>
        <v>0.0</v>
      </c>
      <c r="K220" s="31">
        <f>AO220+MIN(U219+AE220-AO220,MAX(0,ROUND(ROUND(Долги!$D$19-SUM($AL220:$AU220),2)-(SUM($H220:J220)-SUM($AL220:AN220)),2)))</f>
        <v>0.0</v>
      </c>
      <c r="L220" s="31">
        <f>AP220+MIN(V219+AF220-AP220,MAX(0,ROUND(ROUND(Долги!$D$19-SUM($AL220:$AU220),2)-(SUM($H220:K220)-SUM($AL220:AO220)),2)))</f>
        <v>0.0</v>
      </c>
      <c r="M220" s="31">
        <f>AQ220+MIN(W219+AG220-AQ220,MAX(0,ROUND(ROUND(Долги!$D$19-SUM($AL220:$AU220),2)-(SUM($H220:L220)-SUM($AL220:AP220)),2)))</f>
        <v>0.0</v>
      </c>
      <c r="N220" s="31">
        <f>AR220+MIN(X219+AH220-AR220,MAX(0,ROUND(ROUND(Долги!$D$19-SUM($AL220:$AU220),2)-(SUM($H220:M220)-SUM($AL220:AQ220)),2)))</f>
        <v>0.0</v>
      </c>
      <c r="O220" s="31">
        <f>AS220+MIN(Y219+AI220-AS220,MAX(0,ROUND(ROUND(Долги!$D$19-SUM($AL220:$AU220),2)-(SUM($H220:N220)-SUM($AL220:AR220)),2)))</f>
        <v>0.0</v>
      </c>
      <c r="P220" s="31">
        <f>AT220+MIN(Z219+AJ220-AT220,MAX(0,ROUND(ROUND(Долги!$D$19-SUM($AL220:$AU220),2)-(SUM($H220:O220)-SUM($AL220:AS220)),2)))</f>
        <v>0.0</v>
      </c>
      <c r="Q220" s="31">
        <f>AU220+MIN(AA219+AK220-AU220,MAX(0,ROUND(ROUND(Долги!$D$19-SUM($AL220:$AU220),2)-(SUM($H220:P220)-SUM($AL220:AT220)),2)))</f>
        <v>0.0</v>
      </c>
      <c r="R220" s="31">
        <f>IF(R219+AB220-H220&lt;=0.01,0,ROUND(R219+AB220-H220,2))</f>
        <v>0.0</v>
      </c>
      <c r="S220" s="31">
        <f>IF(S219+AC220-I220&lt;=0.01,0,ROUND(S219+AC220-I220,2))</f>
        <v>0.0</v>
      </c>
      <c r="T220" s="31">
        <f>IF(T219+AD220-J220&lt;=0.01,0,ROUND(T219+AD220-J220,2))</f>
        <v>0.0</v>
      </c>
      <c r="U220" s="31">
        <f>IF(U219+AE220-K220&lt;=0.01,0,ROUND(U219+AE220-K220,2))</f>
        <v>0.0</v>
      </c>
      <c r="V220" s="31">
        <f>IF(V219+AF220-L220&lt;=0.01,0,ROUND(V219+AF220-L220,2))</f>
        <v>0.0</v>
      </c>
      <c r="W220" s="31">
        <f>IF(W219+AG220-M220&lt;=0.01,0,ROUND(W219+AG220-M220,2))</f>
        <v>0.0</v>
      </c>
      <c r="X220" s="31">
        <f>IF(X219+AH220-N220&lt;=0.01,0,ROUND(X219+AH220-N220,2))</f>
        <v>0.0</v>
      </c>
      <c r="Y220" s="31">
        <f>IF(Y219+AI220-O220&lt;=0.01,0,ROUND(Y219+AI220-O220,2))</f>
        <v>0.0</v>
      </c>
      <c r="Z220" s="31">
        <f>IF(Z219+AJ220-P220&lt;=0.01,0,ROUND(Z219+AJ220-P220,2))</f>
        <v>0.0</v>
      </c>
      <c r="AA220" s="31">
        <f>IF(AA219+AK220-Q220&lt;=0.01,0,ROUND(AA219+AK220-Q220,2))</f>
        <v>0.0</v>
      </c>
      <c r="AB220" s="31">
        <f>ROUND(R219*AB$5/1200,2)</f>
        <v>0.0</v>
      </c>
      <c r="AC220" s="31">
        <f>ROUND(S219*AC$5/1200,2)</f>
        <v>0.0</v>
      </c>
      <c r="AD220" s="31">
        <f>ROUND(T219*AD$5/1200,2)</f>
        <v>0.0</v>
      </c>
      <c r="AE220" s="31">
        <f>ROUND(U219*AE$5/1200,2)</f>
        <v>0.0</v>
      </c>
      <c r="AF220" s="31">
        <f>ROUND(V219*AF$5/1200,2)</f>
        <v>0.0</v>
      </c>
      <c r="AG220" s="31">
        <f>ROUND(W219*AG$5/1200,2)</f>
        <v>0.0</v>
      </c>
      <c r="AH220" s="31">
        <f>ROUND(X219*AH$5/1200,2)</f>
        <v>0.0</v>
      </c>
      <c r="AI220" s="31">
        <f>ROUND(Y219*AI$5/1200,2)</f>
        <v>0.0</v>
      </c>
      <c r="AJ220" s="31">
        <f>ROUND(Z219*AJ$5/1200,2)</f>
        <v>0.0</v>
      </c>
      <c r="AK220" s="31">
        <f>ROUND(AA219*AK$5/1200,2)</f>
        <v>0.0</v>
      </c>
      <c r="AL220" s="31">
        <f>MIN(AL$5,R219+AB220)</f>
        <v>0.0</v>
      </c>
      <c r="AM220" s="31">
        <f>MIN(AM$5,S219+AC220)</f>
        <v>0.0</v>
      </c>
      <c r="AN220" s="31">
        <f>MIN(AN$5,T219+AD220)</f>
        <v>0.0</v>
      </c>
      <c r="AO220" s="31">
        <f>MIN(AO$5,U219+AE220)</f>
        <v>0.0</v>
      </c>
      <c r="AP220" s="31">
        <f>MIN(AP$5,V219+AF220)</f>
        <v>0.0</v>
      </c>
      <c r="AQ220" s="31">
        <f>MIN(AQ$5,W219+AG220)</f>
        <v>0.0</v>
      </c>
      <c r="AR220" s="31">
        <f>MIN(AR$5,X219+AH220)</f>
        <v>0.0</v>
      </c>
      <c r="AS220" s="31">
        <f>MIN(AS$5,Y219+AI220)</f>
        <v>0.0</v>
      </c>
      <c r="AT220" s="31">
        <f>MIN(AT$5,Z219+AJ220)</f>
        <v>0.0</v>
      </c>
      <c r="AU220" s="31">
        <f>MIN(AU$5,AA219+AK220)</f>
        <v>0.0</v>
      </c>
    </row>
    <row r="221">
      <c r="A221" s="25" t="str">
        <f>IF(F220&gt;0.005,216,"")</f>
        <v/>
      </c>
      <c r="B221" s="33" t="str">
        <f>IF(A221="","",EDATE(Долги!$D$5,215))</f>
        <v/>
      </c>
      <c r="C221" s="31">
        <f>SUM(H221:Q221)</f>
        <v>0.0</v>
      </c>
      <c r="D221" s="31">
        <f>SUM(AB221:AK221)</f>
        <v>0.0</v>
      </c>
      <c r="E221" s="31">
        <f>C221-D221</f>
        <v>0.0</v>
      </c>
      <c r="F221" s="31">
        <f>SUM(R221:AA221)</f>
        <v>0.0</v>
      </c>
      <c r="G221" s="34" t="str">
        <f>IF(OR(A221="",$F$5&lt;=0),"",REPT("█",ROUND(20*F221/$F$5,0)))</f>
        <v/>
      </c>
      <c r="H221" s="31">
        <f>AL221+MIN(R220+AB221-AL221,MAX(0,ROUND(Долги!$D$19-SUM($AL221:$AU221),2)))</f>
        <v>0.0</v>
      </c>
      <c r="I221" s="31">
        <f>AM221+MIN(S220+AC221-AM221,MAX(0,ROUND(ROUND(Долги!$D$19-SUM($AL221:$AU221),2)-(SUM($H221:H221)-SUM($AL221:AL221)),2)))</f>
        <v>0.0</v>
      </c>
      <c r="J221" s="31">
        <f>AN221+MIN(T220+AD221-AN221,MAX(0,ROUND(ROUND(Долги!$D$19-SUM($AL221:$AU221),2)-(SUM($H221:I221)-SUM($AL221:AM221)),2)))</f>
        <v>0.0</v>
      </c>
      <c r="K221" s="31">
        <f>AO221+MIN(U220+AE221-AO221,MAX(0,ROUND(ROUND(Долги!$D$19-SUM($AL221:$AU221),2)-(SUM($H221:J221)-SUM($AL221:AN221)),2)))</f>
        <v>0.0</v>
      </c>
      <c r="L221" s="31">
        <f>AP221+MIN(V220+AF221-AP221,MAX(0,ROUND(ROUND(Долги!$D$19-SUM($AL221:$AU221),2)-(SUM($H221:K221)-SUM($AL221:AO221)),2)))</f>
        <v>0.0</v>
      </c>
      <c r="M221" s="31">
        <f>AQ221+MIN(W220+AG221-AQ221,MAX(0,ROUND(ROUND(Долги!$D$19-SUM($AL221:$AU221),2)-(SUM($H221:L221)-SUM($AL221:AP221)),2)))</f>
        <v>0.0</v>
      </c>
      <c r="N221" s="31">
        <f>AR221+MIN(X220+AH221-AR221,MAX(0,ROUND(ROUND(Долги!$D$19-SUM($AL221:$AU221),2)-(SUM($H221:M221)-SUM($AL221:AQ221)),2)))</f>
        <v>0.0</v>
      </c>
      <c r="O221" s="31">
        <f>AS221+MIN(Y220+AI221-AS221,MAX(0,ROUND(ROUND(Долги!$D$19-SUM($AL221:$AU221),2)-(SUM($H221:N221)-SUM($AL221:AR221)),2)))</f>
        <v>0.0</v>
      </c>
      <c r="P221" s="31">
        <f>AT221+MIN(Z220+AJ221-AT221,MAX(0,ROUND(ROUND(Долги!$D$19-SUM($AL221:$AU221),2)-(SUM($H221:O221)-SUM($AL221:AS221)),2)))</f>
        <v>0.0</v>
      </c>
      <c r="Q221" s="31">
        <f>AU221+MIN(AA220+AK221-AU221,MAX(0,ROUND(ROUND(Долги!$D$19-SUM($AL221:$AU221),2)-(SUM($H221:P221)-SUM($AL221:AT221)),2)))</f>
        <v>0.0</v>
      </c>
      <c r="R221" s="31">
        <f>IF(R220+AB221-H221&lt;=0.01,0,ROUND(R220+AB221-H221,2))</f>
        <v>0.0</v>
      </c>
      <c r="S221" s="31">
        <f>IF(S220+AC221-I221&lt;=0.01,0,ROUND(S220+AC221-I221,2))</f>
        <v>0.0</v>
      </c>
      <c r="T221" s="31">
        <f>IF(T220+AD221-J221&lt;=0.01,0,ROUND(T220+AD221-J221,2))</f>
        <v>0.0</v>
      </c>
      <c r="U221" s="31">
        <f>IF(U220+AE221-K221&lt;=0.01,0,ROUND(U220+AE221-K221,2))</f>
        <v>0.0</v>
      </c>
      <c r="V221" s="31">
        <f>IF(V220+AF221-L221&lt;=0.01,0,ROUND(V220+AF221-L221,2))</f>
        <v>0.0</v>
      </c>
      <c r="W221" s="31">
        <f>IF(W220+AG221-M221&lt;=0.01,0,ROUND(W220+AG221-M221,2))</f>
        <v>0.0</v>
      </c>
      <c r="X221" s="31">
        <f>IF(X220+AH221-N221&lt;=0.01,0,ROUND(X220+AH221-N221,2))</f>
        <v>0.0</v>
      </c>
      <c r="Y221" s="31">
        <f>IF(Y220+AI221-O221&lt;=0.01,0,ROUND(Y220+AI221-O221,2))</f>
        <v>0.0</v>
      </c>
      <c r="Z221" s="31">
        <f>IF(Z220+AJ221-P221&lt;=0.01,0,ROUND(Z220+AJ221-P221,2))</f>
        <v>0.0</v>
      </c>
      <c r="AA221" s="31">
        <f>IF(AA220+AK221-Q221&lt;=0.01,0,ROUND(AA220+AK221-Q221,2))</f>
        <v>0.0</v>
      </c>
      <c r="AB221" s="31">
        <f>ROUND(R220*AB$5/1200,2)</f>
        <v>0.0</v>
      </c>
      <c r="AC221" s="31">
        <f>ROUND(S220*AC$5/1200,2)</f>
        <v>0.0</v>
      </c>
      <c r="AD221" s="31">
        <f>ROUND(T220*AD$5/1200,2)</f>
        <v>0.0</v>
      </c>
      <c r="AE221" s="31">
        <f>ROUND(U220*AE$5/1200,2)</f>
        <v>0.0</v>
      </c>
      <c r="AF221" s="31">
        <f>ROUND(V220*AF$5/1200,2)</f>
        <v>0.0</v>
      </c>
      <c r="AG221" s="31">
        <f>ROUND(W220*AG$5/1200,2)</f>
        <v>0.0</v>
      </c>
      <c r="AH221" s="31">
        <f>ROUND(X220*AH$5/1200,2)</f>
        <v>0.0</v>
      </c>
      <c r="AI221" s="31">
        <f>ROUND(Y220*AI$5/1200,2)</f>
        <v>0.0</v>
      </c>
      <c r="AJ221" s="31">
        <f>ROUND(Z220*AJ$5/1200,2)</f>
        <v>0.0</v>
      </c>
      <c r="AK221" s="31">
        <f>ROUND(AA220*AK$5/1200,2)</f>
        <v>0.0</v>
      </c>
      <c r="AL221" s="31">
        <f>MIN(AL$5,R220+AB221)</f>
        <v>0.0</v>
      </c>
      <c r="AM221" s="31">
        <f>MIN(AM$5,S220+AC221)</f>
        <v>0.0</v>
      </c>
      <c r="AN221" s="31">
        <f>MIN(AN$5,T220+AD221)</f>
        <v>0.0</v>
      </c>
      <c r="AO221" s="31">
        <f>MIN(AO$5,U220+AE221)</f>
        <v>0.0</v>
      </c>
      <c r="AP221" s="31">
        <f>MIN(AP$5,V220+AF221)</f>
        <v>0.0</v>
      </c>
      <c r="AQ221" s="31">
        <f>MIN(AQ$5,W220+AG221)</f>
        <v>0.0</v>
      </c>
      <c r="AR221" s="31">
        <f>MIN(AR$5,X220+AH221)</f>
        <v>0.0</v>
      </c>
      <c r="AS221" s="31">
        <f>MIN(AS$5,Y220+AI221)</f>
        <v>0.0</v>
      </c>
      <c r="AT221" s="31">
        <f>MIN(AT$5,Z220+AJ221)</f>
        <v>0.0</v>
      </c>
      <c r="AU221" s="31">
        <f>MIN(AU$5,AA220+AK221)</f>
        <v>0.0</v>
      </c>
    </row>
    <row r="222">
      <c r="A222" s="25" t="str">
        <f>IF(F221&gt;0.005,217,"")</f>
        <v/>
      </c>
      <c r="B222" s="33" t="str">
        <f>IF(A222="","",EDATE(Долги!$D$5,216))</f>
        <v/>
      </c>
      <c r="C222" s="31">
        <f>SUM(H222:Q222)</f>
        <v>0.0</v>
      </c>
      <c r="D222" s="31">
        <f>SUM(AB222:AK222)</f>
        <v>0.0</v>
      </c>
      <c r="E222" s="31">
        <f>C222-D222</f>
        <v>0.0</v>
      </c>
      <c r="F222" s="31">
        <f>SUM(R222:AA222)</f>
        <v>0.0</v>
      </c>
      <c r="G222" s="34" t="str">
        <f>IF(OR(A222="",$F$5&lt;=0),"",REPT("█",ROUND(20*F222/$F$5,0)))</f>
        <v/>
      </c>
      <c r="H222" s="31">
        <f>AL222+MIN(R221+AB222-AL222,MAX(0,ROUND(Долги!$D$19-SUM($AL222:$AU222),2)))</f>
        <v>0.0</v>
      </c>
      <c r="I222" s="31">
        <f>AM222+MIN(S221+AC222-AM222,MAX(0,ROUND(ROUND(Долги!$D$19-SUM($AL222:$AU222),2)-(SUM($H222:H222)-SUM($AL222:AL222)),2)))</f>
        <v>0.0</v>
      </c>
      <c r="J222" s="31">
        <f>AN222+MIN(T221+AD222-AN222,MAX(0,ROUND(ROUND(Долги!$D$19-SUM($AL222:$AU222),2)-(SUM($H222:I222)-SUM($AL222:AM222)),2)))</f>
        <v>0.0</v>
      </c>
      <c r="K222" s="31">
        <f>AO222+MIN(U221+AE222-AO222,MAX(0,ROUND(ROUND(Долги!$D$19-SUM($AL222:$AU222),2)-(SUM($H222:J222)-SUM($AL222:AN222)),2)))</f>
        <v>0.0</v>
      </c>
      <c r="L222" s="31">
        <f>AP222+MIN(V221+AF222-AP222,MAX(0,ROUND(ROUND(Долги!$D$19-SUM($AL222:$AU222),2)-(SUM($H222:K222)-SUM($AL222:AO222)),2)))</f>
        <v>0.0</v>
      </c>
      <c r="M222" s="31">
        <f>AQ222+MIN(W221+AG222-AQ222,MAX(0,ROUND(ROUND(Долги!$D$19-SUM($AL222:$AU222),2)-(SUM($H222:L222)-SUM($AL222:AP222)),2)))</f>
        <v>0.0</v>
      </c>
      <c r="N222" s="31">
        <f>AR222+MIN(X221+AH222-AR222,MAX(0,ROUND(ROUND(Долги!$D$19-SUM($AL222:$AU222),2)-(SUM($H222:M222)-SUM($AL222:AQ222)),2)))</f>
        <v>0.0</v>
      </c>
      <c r="O222" s="31">
        <f>AS222+MIN(Y221+AI222-AS222,MAX(0,ROUND(ROUND(Долги!$D$19-SUM($AL222:$AU222),2)-(SUM($H222:N222)-SUM($AL222:AR222)),2)))</f>
        <v>0.0</v>
      </c>
      <c r="P222" s="31">
        <f>AT222+MIN(Z221+AJ222-AT222,MAX(0,ROUND(ROUND(Долги!$D$19-SUM($AL222:$AU222),2)-(SUM($H222:O222)-SUM($AL222:AS222)),2)))</f>
        <v>0.0</v>
      </c>
      <c r="Q222" s="31">
        <f>AU222+MIN(AA221+AK222-AU222,MAX(0,ROUND(ROUND(Долги!$D$19-SUM($AL222:$AU222),2)-(SUM($H222:P222)-SUM($AL222:AT222)),2)))</f>
        <v>0.0</v>
      </c>
      <c r="R222" s="31">
        <f>IF(R221+AB222-H222&lt;=0.01,0,ROUND(R221+AB222-H222,2))</f>
        <v>0.0</v>
      </c>
      <c r="S222" s="31">
        <f>IF(S221+AC222-I222&lt;=0.01,0,ROUND(S221+AC222-I222,2))</f>
        <v>0.0</v>
      </c>
      <c r="T222" s="31">
        <f>IF(T221+AD222-J222&lt;=0.01,0,ROUND(T221+AD222-J222,2))</f>
        <v>0.0</v>
      </c>
      <c r="U222" s="31">
        <f>IF(U221+AE222-K222&lt;=0.01,0,ROUND(U221+AE222-K222,2))</f>
        <v>0.0</v>
      </c>
      <c r="V222" s="31">
        <f>IF(V221+AF222-L222&lt;=0.01,0,ROUND(V221+AF222-L222,2))</f>
        <v>0.0</v>
      </c>
      <c r="W222" s="31">
        <f>IF(W221+AG222-M222&lt;=0.01,0,ROUND(W221+AG222-M222,2))</f>
        <v>0.0</v>
      </c>
      <c r="X222" s="31">
        <f>IF(X221+AH222-N222&lt;=0.01,0,ROUND(X221+AH222-N222,2))</f>
        <v>0.0</v>
      </c>
      <c r="Y222" s="31">
        <f>IF(Y221+AI222-O222&lt;=0.01,0,ROUND(Y221+AI222-O222,2))</f>
        <v>0.0</v>
      </c>
      <c r="Z222" s="31">
        <f>IF(Z221+AJ222-P222&lt;=0.01,0,ROUND(Z221+AJ222-P222,2))</f>
        <v>0.0</v>
      </c>
      <c r="AA222" s="31">
        <f>IF(AA221+AK222-Q222&lt;=0.01,0,ROUND(AA221+AK222-Q222,2))</f>
        <v>0.0</v>
      </c>
      <c r="AB222" s="31">
        <f>ROUND(R221*AB$5/1200,2)</f>
        <v>0.0</v>
      </c>
      <c r="AC222" s="31">
        <f>ROUND(S221*AC$5/1200,2)</f>
        <v>0.0</v>
      </c>
      <c r="AD222" s="31">
        <f>ROUND(T221*AD$5/1200,2)</f>
        <v>0.0</v>
      </c>
      <c r="AE222" s="31">
        <f>ROUND(U221*AE$5/1200,2)</f>
        <v>0.0</v>
      </c>
      <c r="AF222" s="31">
        <f>ROUND(V221*AF$5/1200,2)</f>
        <v>0.0</v>
      </c>
      <c r="AG222" s="31">
        <f>ROUND(W221*AG$5/1200,2)</f>
        <v>0.0</v>
      </c>
      <c r="AH222" s="31">
        <f>ROUND(X221*AH$5/1200,2)</f>
        <v>0.0</v>
      </c>
      <c r="AI222" s="31">
        <f>ROUND(Y221*AI$5/1200,2)</f>
        <v>0.0</v>
      </c>
      <c r="AJ222" s="31">
        <f>ROUND(Z221*AJ$5/1200,2)</f>
        <v>0.0</v>
      </c>
      <c r="AK222" s="31">
        <f>ROUND(AA221*AK$5/1200,2)</f>
        <v>0.0</v>
      </c>
      <c r="AL222" s="31">
        <f>MIN(AL$5,R221+AB222)</f>
        <v>0.0</v>
      </c>
      <c r="AM222" s="31">
        <f>MIN(AM$5,S221+AC222)</f>
        <v>0.0</v>
      </c>
      <c r="AN222" s="31">
        <f>MIN(AN$5,T221+AD222)</f>
        <v>0.0</v>
      </c>
      <c r="AO222" s="31">
        <f>MIN(AO$5,U221+AE222)</f>
        <v>0.0</v>
      </c>
      <c r="AP222" s="31">
        <f>MIN(AP$5,V221+AF222)</f>
        <v>0.0</v>
      </c>
      <c r="AQ222" s="31">
        <f>MIN(AQ$5,W221+AG222)</f>
        <v>0.0</v>
      </c>
      <c r="AR222" s="31">
        <f>MIN(AR$5,X221+AH222)</f>
        <v>0.0</v>
      </c>
      <c r="AS222" s="31">
        <f>MIN(AS$5,Y221+AI222)</f>
        <v>0.0</v>
      </c>
      <c r="AT222" s="31">
        <f>MIN(AT$5,Z221+AJ222)</f>
        <v>0.0</v>
      </c>
      <c r="AU222" s="31">
        <f>MIN(AU$5,AA221+AK222)</f>
        <v>0.0</v>
      </c>
    </row>
    <row r="223">
      <c r="A223" s="25" t="str">
        <f>IF(F222&gt;0.005,218,"")</f>
        <v/>
      </c>
      <c r="B223" s="33" t="str">
        <f>IF(A223="","",EDATE(Долги!$D$5,217))</f>
        <v/>
      </c>
      <c r="C223" s="31">
        <f>SUM(H223:Q223)</f>
        <v>0.0</v>
      </c>
      <c r="D223" s="31">
        <f>SUM(AB223:AK223)</f>
        <v>0.0</v>
      </c>
      <c r="E223" s="31">
        <f>C223-D223</f>
        <v>0.0</v>
      </c>
      <c r="F223" s="31">
        <f>SUM(R223:AA223)</f>
        <v>0.0</v>
      </c>
      <c r="G223" s="34" t="str">
        <f>IF(OR(A223="",$F$5&lt;=0),"",REPT("█",ROUND(20*F223/$F$5,0)))</f>
        <v/>
      </c>
      <c r="H223" s="31">
        <f>AL223+MIN(R222+AB223-AL223,MAX(0,ROUND(Долги!$D$19-SUM($AL223:$AU223),2)))</f>
        <v>0.0</v>
      </c>
      <c r="I223" s="31">
        <f>AM223+MIN(S222+AC223-AM223,MAX(0,ROUND(ROUND(Долги!$D$19-SUM($AL223:$AU223),2)-(SUM($H223:H223)-SUM($AL223:AL223)),2)))</f>
        <v>0.0</v>
      </c>
      <c r="J223" s="31">
        <f>AN223+MIN(T222+AD223-AN223,MAX(0,ROUND(ROUND(Долги!$D$19-SUM($AL223:$AU223),2)-(SUM($H223:I223)-SUM($AL223:AM223)),2)))</f>
        <v>0.0</v>
      </c>
      <c r="K223" s="31">
        <f>AO223+MIN(U222+AE223-AO223,MAX(0,ROUND(ROUND(Долги!$D$19-SUM($AL223:$AU223),2)-(SUM($H223:J223)-SUM($AL223:AN223)),2)))</f>
        <v>0.0</v>
      </c>
      <c r="L223" s="31">
        <f>AP223+MIN(V222+AF223-AP223,MAX(0,ROUND(ROUND(Долги!$D$19-SUM($AL223:$AU223),2)-(SUM($H223:K223)-SUM($AL223:AO223)),2)))</f>
        <v>0.0</v>
      </c>
      <c r="M223" s="31">
        <f>AQ223+MIN(W222+AG223-AQ223,MAX(0,ROUND(ROUND(Долги!$D$19-SUM($AL223:$AU223),2)-(SUM($H223:L223)-SUM($AL223:AP223)),2)))</f>
        <v>0.0</v>
      </c>
      <c r="N223" s="31">
        <f>AR223+MIN(X222+AH223-AR223,MAX(0,ROUND(ROUND(Долги!$D$19-SUM($AL223:$AU223),2)-(SUM($H223:M223)-SUM($AL223:AQ223)),2)))</f>
        <v>0.0</v>
      </c>
      <c r="O223" s="31">
        <f>AS223+MIN(Y222+AI223-AS223,MAX(0,ROUND(ROUND(Долги!$D$19-SUM($AL223:$AU223),2)-(SUM($H223:N223)-SUM($AL223:AR223)),2)))</f>
        <v>0.0</v>
      </c>
      <c r="P223" s="31">
        <f>AT223+MIN(Z222+AJ223-AT223,MAX(0,ROUND(ROUND(Долги!$D$19-SUM($AL223:$AU223),2)-(SUM($H223:O223)-SUM($AL223:AS223)),2)))</f>
        <v>0.0</v>
      </c>
      <c r="Q223" s="31">
        <f>AU223+MIN(AA222+AK223-AU223,MAX(0,ROUND(ROUND(Долги!$D$19-SUM($AL223:$AU223),2)-(SUM($H223:P223)-SUM($AL223:AT223)),2)))</f>
        <v>0.0</v>
      </c>
      <c r="R223" s="31">
        <f>IF(R222+AB223-H223&lt;=0.01,0,ROUND(R222+AB223-H223,2))</f>
        <v>0.0</v>
      </c>
      <c r="S223" s="31">
        <f>IF(S222+AC223-I223&lt;=0.01,0,ROUND(S222+AC223-I223,2))</f>
        <v>0.0</v>
      </c>
      <c r="T223" s="31">
        <f>IF(T222+AD223-J223&lt;=0.01,0,ROUND(T222+AD223-J223,2))</f>
        <v>0.0</v>
      </c>
      <c r="U223" s="31">
        <f>IF(U222+AE223-K223&lt;=0.01,0,ROUND(U222+AE223-K223,2))</f>
        <v>0.0</v>
      </c>
      <c r="V223" s="31">
        <f>IF(V222+AF223-L223&lt;=0.01,0,ROUND(V222+AF223-L223,2))</f>
        <v>0.0</v>
      </c>
      <c r="W223" s="31">
        <f>IF(W222+AG223-M223&lt;=0.01,0,ROUND(W222+AG223-M223,2))</f>
        <v>0.0</v>
      </c>
      <c r="X223" s="31">
        <f>IF(X222+AH223-N223&lt;=0.01,0,ROUND(X222+AH223-N223,2))</f>
        <v>0.0</v>
      </c>
      <c r="Y223" s="31">
        <f>IF(Y222+AI223-O223&lt;=0.01,0,ROUND(Y222+AI223-O223,2))</f>
        <v>0.0</v>
      </c>
      <c r="Z223" s="31">
        <f>IF(Z222+AJ223-P223&lt;=0.01,0,ROUND(Z222+AJ223-P223,2))</f>
        <v>0.0</v>
      </c>
      <c r="AA223" s="31">
        <f>IF(AA222+AK223-Q223&lt;=0.01,0,ROUND(AA222+AK223-Q223,2))</f>
        <v>0.0</v>
      </c>
      <c r="AB223" s="31">
        <f>ROUND(R222*AB$5/1200,2)</f>
        <v>0.0</v>
      </c>
      <c r="AC223" s="31">
        <f>ROUND(S222*AC$5/1200,2)</f>
        <v>0.0</v>
      </c>
      <c r="AD223" s="31">
        <f>ROUND(T222*AD$5/1200,2)</f>
        <v>0.0</v>
      </c>
      <c r="AE223" s="31">
        <f>ROUND(U222*AE$5/1200,2)</f>
        <v>0.0</v>
      </c>
      <c r="AF223" s="31">
        <f>ROUND(V222*AF$5/1200,2)</f>
        <v>0.0</v>
      </c>
      <c r="AG223" s="31">
        <f>ROUND(W222*AG$5/1200,2)</f>
        <v>0.0</v>
      </c>
      <c r="AH223" s="31">
        <f>ROUND(X222*AH$5/1200,2)</f>
        <v>0.0</v>
      </c>
      <c r="AI223" s="31">
        <f>ROUND(Y222*AI$5/1200,2)</f>
        <v>0.0</v>
      </c>
      <c r="AJ223" s="31">
        <f>ROUND(Z222*AJ$5/1200,2)</f>
        <v>0.0</v>
      </c>
      <c r="AK223" s="31">
        <f>ROUND(AA222*AK$5/1200,2)</f>
        <v>0.0</v>
      </c>
      <c r="AL223" s="31">
        <f>MIN(AL$5,R222+AB223)</f>
        <v>0.0</v>
      </c>
      <c r="AM223" s="31">
        <f>MIN(AM$5,S222+AC223)</f>
        <v>0.0</v>
      </c>
      <c r="AN223" s="31">
        <f>MIN(AN$5,T222+AD223)</f>
        <v>0.0</v>
      </c>
      <c r="AO223" s="31">
        <f>MIN(AO$5,U222+AE223)</f>
        <v>0.0</v>
      </c>
      <c r="AP223" s="31">
        <f>MIN(AP$5,V222+AF223)</f>
        <v>0.0</v>
      </c>
      <c r="AQ223" s="31">
        <f>MIN(AQ$5,W222+AG223)</f>
        <v>0.0</v>
      </c>
      <c r="AR223" s="31">
        <f>MIN(AR$5,X222+AH223)</f>
        <v>0.0</v>
      </c>
      <c r="AS223" s="31">
        <f>MIN(AS$5,Y222+AI223)</f>
        <v>0.0</v>
      </c>
      <c r="AT223" s="31">
        <f>MIN(AT$5,Z222+AJ223)</f>
        <v>0.0</v>
      </c>
      <c r="AU223" s="31">
        <f>MIN(AU$5,AA222+AK223)</f>
        <v>0.0</v>
      </c>
    </row>
    <row r="224">
      <c r="A224" s="25" t="str">
        <f>IF(F223&gt;0.005,219,"")</f>
        <v/>
      </c>
      <c r="B224" s="33" t="str">
        <f>IF(A224="","",EDATE(Долги!$D$5,218))</f>
        <v/>
      </c>
      <c r="C224" s="31">
        <f>SUM(H224:Q224)</f>
        <v>0.0</v>
      </c>
      <c r="D224" s="31">
        <f>SUM(AB224:AK224)</f>
        <v>0.0</v>
      </c>
      <c r="E224" s="31">
        <f>C224-D224</f>
        <v>0.0</v>
      </c>
      <c r="F224" s="31">
        <f>SUM(R224:AA224)</f>
        <v>0.0</v>
      </c>
      <c r="G224" s="34" t="str">
        <f>IF(OR(A224="",$F$5&lt;=0),"",REPT("█",ROUND(20*F224/$F$5,0)))</f>
        <v/>
      </c>
      <c r="H224" s="31">
        <f>AL224+MIN(R223+AB224-AL224,MAX(0,ROUND(Долги!$D$19-SUM($AL224:$AU224),2)))</f>
        <v>0.0</v>
      </c>
      <c r="I224" s="31">
        <f>AM224+MIN(S223+AC224-AM224,MAX(0,ROUND(ROUND(Долги!$D$19-SUM($AL224:$AU224),2)-(SUM($H224:H224)-SUM($AL224:AL224)),2)))</f>
        <v>0.0</v>
      </c>
      <c r="J224" s="31">
        <f>AN224+MIN(T223+AD224-AN224,MAX(0,ROUND(ROUND(Долги!$D$19-SUM($AL224:$AU224),2)-(SUM($H224:I224)-SUM($AL224:AM224)),2)))</f>
        <v>0.0</v>
      </c>
      <c r="K224" s="31">
        <f>AO224+MIN(U223+AE224-AO224,MAX(0,ROUND(ROUND(Долги!$D$19-SUM($AL224:$AU224),2)-(SUM($H224:J224)-SUM($AL224:AN224)),2)))</f>
        <v>0.0</v>
      </c>
      <c r="L224" s="31">
        <f>AP224+MIN(V223+AF224-AP224,MAX(0,ROUND(ROUND(Долги!$D$19-SUM($AL224:$AU224),2)-(SUM($H224:K224)-SUM($AL224:AO224)),2)))</f>
        <v>0.0</v>
      </c>
      <c r="M224" s="31">
        <f>AQ224+MIN(W223+AG224-AQ224,MAX(0,ROUND(ROUND(Долги!$D$19-SUM($AL224:$AU224),2)-(SUM($H224:L224)-SUM($AL224:AP224)),2)))</f>
        <v>0.0</v>
      </c>
      <c r="N224" s="31">
        <f>AR224+MIN(X223+AH224-AR224,MAX(0,ROUND(ROUND(Долги!$D$19-SUM($AL224:$AU224),2)-(SUM($H224:M224)-SUM($AL224:AQ224)),2)))</f>
        <v>0.0</v>
      </c>
      <c r="O224" s="31">
        <f>AS224+MIN(Y223+AI224-AS224,MAX(0,ROUND(ROUND(Долги!$D$19-SUM($AL224:$AU224),2)-(SUM($H224:N224)-SUM($AL224:AR224)),2)))</f>
        <v>0.0</v>
      </c>
      <c r="P224" s="31">
        <f>AT224+MIN(Z223+AJ224-AT224,MAX(0,ROUND(ROUND(Долги!$D$19-SUM($AL224:$AU224),2)-(SUM($H224:O224)-SUM($AL224:AS224)),2)))</f>
        <v>0.0</v>
      </c>
      <c r="Q224" s="31">
        <f>AU224+MIN(AA223+AK224-AU224,MAX(0,ROUND(ROUND(Долги!$D$19-SUM($AL224:$AU224),2)-(SUM($H224:P224)-SUM($AL224:AT224)),2)))</f>
        <v>0.0</v>
      </c>
      <c r="R224" s="31">
        <f>IF(R223+AB224-H224&lt;=0.01,0,ROUND(R223+AB224-H224,2))</f>
        <v>0.0</v>
      </c>
      <c r="S224" s="31">
        <f>IF(S223+AC224-I224&lt;=0.01,0,ROUND(S223+AC224-I224,2))</f>
        <v>0.0</v>
      </c>
      <c r="T224" s="31">
        <f>IF(T223+AD224-J224&lt;=0.01,0,ROUND(T223+AD224-J224,2))</f>
        <v>0.0</v>
      </c>
      <c r="U224" s="31">
        <f>IF(U223+AE224-K224&lt;=0.01,0,ROUND(U223+AE224-K224,2))</f>
        <v>0.0</v>
      </c>
      <c r="V224" s="31">
        <f>IF(V223+AF224-L224&lt;=0.01,0,ROUND(V223+AF224-L224,2))</f>
        <v>0.0</v>
      </c>
      <c r="W224" s="31">
        <f>IF(W223+AG224-M224&lt;=0.01,0,ROUND(W223+AG224-M224,2))</f>
        <v>0.0</v>
      </c>
      <c r="X224" s="31">
        <f>IF(X223+AH224-N224&lt;=0.01,0,ROUND(X223+AH224-N224,2))</f>
        <v>0.0</v>
      </c>
      <c r="Y224" s="31">
        <f>IF(Y223+AI224-O224&lt;=0.01,0,ROUND(Y223+AI224-O224,2))</f>
        <v>0.0</v>
      </c>
      <c r="Z224" s="31">
        <f>IF(Z223+AJ224-P224&lt;=0.01,0,ROUND(Z223+AJ224-P224,2))</f>
        <v>0.0</v>
      </c>
      <c r="AA224" s="31">
        <f>IF(AA223+AK224-Q224&lt;=0.01,0,ROUND(AA223+AK224-Q224,2))</f>
        <v>0.0</v>
      </c>
      <c r="AB224" s="31">
        <f>ROUND(R223*AB$5/1200,2)</f>
        <v>0.0</v>
      </c>
      <c r="AC224" s="31">
        <f>ROUND(S223*AC$5/1200,2)</f>
        <v>0.0</v>
      </c>
      <c r="AD224" s="31">
        <f>ROUND(T223*AD$5/1200,2)</f>
        <v>0.0</v>
      </c>
      <c r="AE224" s="31">
        <f>ROUND(U223*AE$5/1200,2)</f>
        <v>0.0</v>
      </c>
      <c r="AF224" s="31">
        <f>ROUND(V223*AF$5/1200,2)</f>
        <v>0.0</v>
      </c>
      <c r="AG224" s="31">
        <f>ROUND(W223*AG$5/1200,2)</f>
        <v>0.0</v>
      </c>
      <c r="AH224" s="31">
        <f>ROUND(X223*AH$5/1200,2)</f>
        <v>0.0</v>
      </c>
      <c r="AI224" s="31">
        <f>ROUND(Y223*AI$5/1200,2)</f>
        <v>0.0</v>
      </c>
      <c r="AJ224" s="31">
        <f>ROUND(Z223*AJ$5/1200,2)</f>
        <v>0.0</v>
      </c>
      <c r="AK224" s="31">
        <f>ROUND(AA223*AK$5/1200,2)</f>
        <v>0.0</v>
      </c>
      <c r="AL224" s="31">
        <f>MIN(AL$5,R223+AB224)</f>
        <v>0.0</v>
      </c>
      <c r="AM224" s="31">
        <f>MIN(AM$5,S223+AC224)</f>
        <v>0.0</v>
      </c>
      <c r="AN224" s="31">
        <f>MIN(AN$5,T223+AD224)</f>
        <v>0.0</v>
      </c>
      <c r="AO224" s="31">
        <f>MIN(AO$5,U223+AE224)</f>
        <v>0.0</v>
      </c>
      <c r="AP224" s="31">
        <f>MIN(AP$5,V223+AF224)</f>
        <v>0.0</v>
      </c>
      <c r="AQ224" s="31">
        <f>MIN(AQ$5,W223+AG224)</f>
        <v>0.0</v>
      </c>
      <c r="AR224" s="31">
        <f>MIN(AR$5,X223+AH224)</f>
        <v>0.0</v>
      </c>
      <c r="AS224" s="31">
        <f>MIN(AS$5,Y223+AI224)</f>
        <v>0.0</v>
      </c>
      <c r="AT224" s="31">
        <f>MIN(AT$5,Z223+AJ224)</f>
        <v>0.0</v>
      </c>
      <c r="AU224" s="31">
        <f>MIN(AU$5,AA223+AK224)</f>
        <v>0.0</v>
      </c>
    </row>
    <row r="225">
      <c r="A225" s="25" t="str">
        <f>IF(F224&gt;0.005,220,"")</f>
        <v/>
      </c>
      <c r="B225" s="33" t="str">
        <f>IF(A225="","",EDATE(Долги!$D$5,219))</f>
        <v/>
      </c>
      <c r="C225" s="31">
        <f>SUM(H225:Q225)</f>
        <v>0.0</v>
      </c>
      <c r="D225" s="31">
        <f>SUM(AB225:AK225)</f>
        <v>0.0</v>
      </c>
      <c r="E225" s="31">
        <f>C225-D225</f>
        <v>0.0</v>
      </c>
      <c r="F225" s="31">
        <f>SUM(R225:AA225)</f>
        <v>0.0</v>
      </c>
      <c r="G225" s="34" t="str">
        <f>IF(OR(A225="",$F$5&lt;=0),"",REPT("█",ROUND(20*F225/$F$5,0)))</f>
        <v/>
      </c>
      <c r="H225" s="31">
        <f>AL225+MIN(R224+AB225-AL225,MAX(0,ROUND(Долги!$D$19-SUM($AL225:$AU225),2)))</f>
        <v>0.0</v>
      </c>
      <c r="I225" s="31">
        <f>AM225+MIN(S224+AC225-AM225,MAX(0,ROUND(ROUND(Долги!$D$19-SUM($AL225:$AU225),2)-(SUM($H225:H225)-SUM($AL225:AL225)),2)))</f>
        <v>0.0</v>
      </c>
      <c r="J225" s="31">
        <f>AN225+MIN(T224+AD225-AN225,MAX(0,ROUND(ROUND(Долги!$D$19-SUM($AL225:$AU225),2)-(SUM($H225:I225)-SUM($AL225:AM225)),2)))</f>
        <v>0.0</v>
      </c>
      <c r="K225" s="31">
        <f>AO225+MIN(U224+AE225-AO225,MAX(0,ROUND(ROUND(Долги!$D$19-SUM($AL225:$AU225),2)-(SUM($H225:J225)-SUM($AL225:AN225)),2)))</f>
        <v>0.0</v>
      </c>
      <c r="L225" s="31">
        <f>AP225+MIN(V224+AF225-AP225,MAX(0,ROUND(ROUND(Долги!$D$19-SUM($AL225:$AU225),2)-(SUM($H225:K225)-SUM($AL225:AO225)),2)))</f>
        <v>0.0</v>
      </c>
      <c r="M225" s="31">
        <f>AQ225+MIN(W224+AG225-AQ225,MAX(0,ROUND(ROUND(Долги!$D$19-SUM($AL225:$AU225),2)-(SUM($H225:L225)-SUM($AL225:AP225)),2)))</f>
        <v>0.0</v>
      </c>
      <c r="N225" s="31">
        <f>AR225+MIN(X224+AH225-AR225,MAX(0,ROUND(ROUND(Долги!$D$19-SUM($AL225:$AU225),2)-(SUM($H225:M225)-SUM($AL225:AQ225)),2)))</f>
        <v>0.0</v>
      </c>
      <c r="O225" s="31">
        <f>AS225+MIN(Y224+AI225-AS225,MAX(0,ROUND(ROUND(Долги!$D$19-SUM($AL225:$AU225),2)-(SUM($H225:N225)-SUM($AL225:AR225)),2)))</f>
        <v>0.0</v>
      </c>
      <c r="P225" s="31">
        <f>AT225+MIN(Z224+AJ225-AT225,MAX(0,ROUND(ROUND(Долги!$D$19-SUM($AL225:$AU225),2)-(SUM($H225:O225)-SUM($AL225:AS225)),2)))</f>
        <v>0.0</v>
      </c>
      <c r="Q225" s="31">
        <f>AU225+MIN(AA224+AK225-AU225,MAX(0,ROUND(ROUND(Долги!$D$19-SUM($AL225:$AU225),2)-(SUM($H225:P225)-SUM($AL225:AT225)),2)))</f>
        <v>0.0</v>
      </c>
      <c r="R225" s="31">
        <f>IF(R224+AB225-H225&lt;=0.01,0,ROUND(R224+AB225-H225,2))</f>
        <v>0.0</v>
      </c>
      <c r="S225" s="31">
        <f>IF(S224+AC225-I225&lt;=0.01,0,ROUND(S224+AC225-I225,2))</f>
        <v>0.0</v>
      </c>
      <c r="T225" s="31">
        <f>IF(T224+AD225-J225&lt;=0.01,0,ROUND(T224+AD225-J225,2))</f>
        <v>0.0</v>
      </c>
      <c r="U225" s="31">
        <f>IF(U224+AE225-K225&lt;=0.01,0,ROUND(U224+AE225-K225,2))</f>
        <v>0.0</v>
      </c>
      <c r="V225" s="31">
        <f>IF(V224+AF225-L225&lt;=0.01,0,ROUND(V224+AF225-L225,2))</f>
        <v>0.0</v>
      </c>
      <c r="W225" s="31">
        <f>IF(W224+AG225-M225&lt;=0.01,0,ROUND(W224+AG225-M225,2))</f>
        <v>0.0</v>
      </c>
      <c r="X225" s="31">
        <f>IF(X224+AH225-N225&lt;=0.01,0,ROUND(X224+AH225-N225,2))</f>
        <v>0.0</v>
      </c>
      <c r="Y225" s="31">
        <f>IF(Y224+AI225-O225&lt;=0.01,0,ROUND(Y224+AI225-O225,2))</f>
        <v>0.0</v>
      </c>
      <c r="Z225" s="31">
        <f>IF(Z224+AJ225-P225&lt;=0.01,0,ROUND(Z224+AJ225-P225,2))</f>
        <v>0.0</v>
      </c>
      <c r="AA225" s="31">
        <f>IF(AA224+AK225-Q225&lt;=0.01,0,ROUND(AA224+AK225-Q225,2))</f>
        <v>0.0</v>
      </c>
      <c r="AB225" s="31">
        <f>ROUND(R224*AB$5/1200,2)</f>
        <v>0.0</v>
      </c>
      <c r="AC225" s="31">
        <f>ROUND(S224*AC$5/1200,2)</f>
        <v>0.0</v>
      </c>
      <c r="AD225" s="31">
        <f>ROUND(T224*AD$5/1200,2)</f>
        <v>0.0</v>
      </c>
      <c r="AE225" s="31">
        <f>ROUND(U224*AE$5/1200,2)</f>
        <v>0.0</v>
      </c>
      <c r="AF225" s="31">
        <f>ROUND(V224*AF$5/1200,2)</f>
        <v>0.0</v>
      </c>
      <c r="AG225" s="31">
        <f>ROUND(W224*AG$5/1200,2)</f>
        <v>0.0</v>
      </c>
      <c r="AH225" s="31">
        <f>ROUND(X224*AH$5/1200,2)</f>
        <v>0.0</v>
      </c>
      <c r="AI225" s="31">
        <f>ROUND(Y224*AI$5/1200,2)</f>
        <v>0.0</v>
      </c>
      <c r="AJ225" s="31">
        <f>ROUND(Z224*AJ$5/1200,2)</f>
        <v>0.0</v>
      </c>
      <c r="AK225" s="31">
        <f>ROUND(AA224*AK$5/1200,2)</f>
        <v>0.0</v>
      </c>
      <c r="AL225" s="31">
        <f>MIN(AL$5,R224+AB225)</f>
        <v>0.0</v>
      </c>
      <c r="AM225" s="31">
        <f>MIN(AM$5,S224+AC225)</f>
        <v>0.0</v>
      </c>
      <c r="AN225" s="31">
        <f>MIN(AN$5,T224+AD225)</f>
        <v>0.0</v>
      </c>
      <c r="AO225" s="31">
        <f>MIN(AO$5,U224+AE225)</f>
        <v>0.0</v>
      </c>
      <c r="AP225" s="31">
        <f>MIN(AP$5,V224+AF225)</f>
        <v>0.0</v>
      </c>
      <c r="AQ225" s="31">
        <f>MIN(AQ$5,W224+AG225)</f>
        <v>0.0</v>
      </c>
      <c r="AR225" s="31">
        <f>MIN(AR$5,X224+AH225)</f>
        <v>0.0</v>
      </c>
      <c r="AS225" s="31">
        <f>MIN(AS$5,Y224+AI225)</f>
        <v>0.0</v>
      </c>
      <c r="AT225" s="31">
        <f>MIN(AT$5,Z224+AJ225)</f>
        <v>0.0</v>
      </c>
      <c r="AU225" s="31">
        <f>MIN(AU$5,AA224+AK225)</f>
        <v>0.0</v>
      </c>
    </row>
    <row r="226">
      <c r="A226" s="25" t="str">
        <f>IF(F225&gt;0.005,221,"")</f>
        <v/>
      </c>
      <c r="B226" s="33" t="str">
        <f>IF(A226="","",EDATE(Долги!$D$5,220))</f>
        <v/>
      </c>
      <c r="C226" s="31">
        <f>SUM(H226:Q226)</f>
        <v>0.0</v>
      </c>
      <c r="D226" s="31">
        <f>SUM(AB226:AK226)</f>
        <v>0.0</v>
      </c>
      <c r="E226" s="31">
        <f>C226-D226</f>
        <v>0.0</v>
      </c>
      <c r="F226" s="31">
        <f>SUM(R226:AA226)</f>
        <v>0.0</v>
      </c>
      <c r="G226" s="34" t="str">
        <f>IF(OR(A226="",$F$5&lt;=0),"",REPT("█",ROUND(20*F226/$F$5,0)))</f>
        <v/>
      </c>
      <c r="H226" s="31">
        <f>AL226+MIN(R225+AB226-AL226,MAX(0,ROUND(Долги!$D$19-SUM($AL226:$AU226),2)))</f>
        <v>0.0</v>
      </c>
      <c r="I226" s="31">
        <f>AM226+MIN(S225+AC226-AM226,MAX(0,ROUND(ROUND(Долги!$D$19-SUM($AL226:$AU226),2)-(SUM($H226:H226)-SUM($AL226:AL226)),2)))</f>
        <v>0.0</v>
      </c>
      <c r="J226" s="31">
        <f>AN226+MIN(T225+AD226-AN226,MAX(0,ROUND(ROUND(Долги!$D$19-SUM($AL226:$AU226),2)-(SUM($H226:I226)-SUM($AL226:AM226)),2)))</f>
        <v>0.0</v>
      </c>
      <c r="K226" s="31">
        <f>AO226+MIN(U225+AE226-AO226,MAX(0,ROUND(ROUND(Долги!$D$19-SUM($AL226:$AU226),2)-(SUM($H226:J226)-SUM($AL226:AN226)),2)))</f>
        <v>0.0</v>
      </c>
      <c r="L226" s="31">
        <f>AP226+MIN(V225+AF226-AP226,MAX(0,ROUND(ROUND(Долги!$D$19-SUM($AL226:$AU226),2)-(SUM($H226:K226)-SUM($AL226:AO226)),2)))</f>
        <v>0.0</v>
      </c>
      <c r="M226" s="31">
        <f>AQ226+MIN(W225+AG226-AQ226,MAX(0,ROUND(ROUND(Долги!$D$19-SUM($AL226:$AU226),2)-(SUM($H226:L226)-SUM($AL226:AP226)),2)))</f>
        <v>0.0</v>
      </c>
      <c r="N226" s="31">
        <f>AR226+MIN(X225+AH226-AR226,MAX(0,ROUND(ROUND(Долги!$D$19-SUM($AL226:$AU226),2)-(SUM($H226:M226)-SUM($AL226:AQ226)),2)))</f>
        <v>0.0</v>
      </c>
      <c r="O226" s="31">
        <f>AS226+MIN(Y225+AI226-AS226,MAX(0,ROUND(ROUND(Долги!$D$19-SUM($AL226:$AU226),2)-(SUM($H226:N226)-SUM($AL226:AR226)),2)))</f>
        <v>0.0</v>
      </c>
      <c r="P226" s="31">
        <f>AT226+MIN(Z225+AJ226-AT226,MAX(0,ROUND(ROUND(Долги!$D$19-SUM($AL226:$AU226),2)-(SUM($H226:O226)-SUM($AL226:AS226)),2)))</f>
        <v>0.0</v>
      </c>
      <c r="Q226" s="31">
        <f>AU226+MIN(AA225+AK226-AU226,MAX(0,ROUND(ROUND(Долги!$D$19-SUM($AL226:$AU226),2)-(SUM($H226:P226)-SUM($AL226:AT226)),2)))</f>
        <v>0.0</v>
      </c>
      <c r="R226" s="31">
        <f>IF(R225+AB226-H226&lt;=0.01,0,ROUND(R225+AB226-H226,2))</f>
        <v>0.0</v>
      </c>
      <c r="S226" s="31">
        <f>IF(S225+AC226-I226&lt;=0.01,0,ROUND(S225+AC226-I226,2))</f>
        <v>0.0</v>
      </c>
      <c r="T226" s="31">
        <f>IF(T225+AD226-J226&lt;=0.01,0,ROUND(T225+AD226-J226,2))</f>
        <v>0.0</v>
      </c>
      <c r="U226" s="31">
        <f>IF(U225+AE226-K226&lt;=0.01,0,ROUND(U225+AE226-K226,2))</f>
        <v>0.0</v>
      </c>
      <c r="V226" s="31">
        <f>IF(V225+AF226-L226&lt;=0.01,0,ROUND(V225+AF226-L226,2))</f>
        <v>0.0</v>
      </c>
      <c r="W226" s="31">
        <f>IF(W225+AG226-M226&lt;=0.01,0,ROUND(W225+AG226-M226,2))</f>
        <v>0.0</v>
      </c>
      <c r="X226" s="31">
        <f>IF(X225+AH226-N226&lt;=0.01,0,ROUND(X225+AH226-N226,2))</f>
        <v>0.0</v>
      </c>
      <c r="Y226" s="31">
        <f>IF(Y225+AI226-O226&lt;=0.01,0,ROUND(Y225+AI226-O226,2))</f>
        <v>0.0</v>
      </c>
      <c r="Z226" s="31">
        <f>IF(Z225+AJ226-P226&lt;=0.01,0,ROUND(Z225+AJ226-P226,2))</f>
        <v>0.0</v>
      </c>
      <c r="AA226" s="31">
        <f>IF(AA225+AK226-Q226&lt;=0.01,0,ROUND(AA225+AK226-Q226,2))</f>
        <v>0.0</v>
      </c>
      <c r="AB226" s="31">
        <f>ROUND(R225*AB$5/1200,2)</f>
        <v>0.0</v>
      </c>
      <c r="AC226" s="31">
        <f>ROUND(S225*AC$5/1200,2)</f>
        <v>0.0</v>
      </c>
      <c r="AD226" s="31">
        <f>ROUND(T225*AD$5/1200,2)</f>
        <v>0.0</v>
      </c>
      <c r="AE226" s="31">
        <f>ROUND(U225*AE$5/1200,2)</f>
        <v>0.0</v>
      </c>
      <c r="AF226" s="31">
        <f>ROUND(V225*AF$5/1200,2)</f>
        <v>0.0</v>
      </c>
      <c r="AG226" s="31">
        <f>ROUND(W225*AG$5/1200,2)</f>
        <v>0.0</v>
      </c>
      <c r="AH226" s="31">
        <f>ROUND(X225*AH$5/1200,2)</f>
        <v>0.0</v>
      </c>
      <c r="AI226" s="31">
        <f>ROUND(Y225*AI$5/1200,2)</f>
        <v>0.0</v>
      </c>
      <c r="AJ226" s="31">
        <f>ROUND(Z225*AJ$5/1200,2)</f>
        <v>0.0</v>
      </c>
      <c r="AK226" s="31">
        <f>ROUND(AA225*AK$5/1200,2)</f>
        <v>0.0</v>
      </c>
      <c r="AL226" s="31">
        <f>MIN(AL$5,R225+AB226)</f>
        <v>0.0</v>
      </c>
      <c r="AM226" s="31">
        <f>MIN(AM$5,S225+AC226)</f>
        <v>0.0</v>
      </c>
      <c r="AN226" s="31">
        <f>MIN(AN$5,T225+AD226)</f>
        <v>0.0</v>
      </c>
      <c r="AO226" s="31">
        <f>MIN(AO$5,U225+AE226)</f>
        <v>0.0</v>
      </c>
      <c r="AP226" s="31">
        <f>MIN(AP$5,V225+AF226)</f>
        <v>0.0</v>
      </c>
      <c r="AQ226" s="31">
        <f>MIN(AQ$5,W225+AG226)</f>
        <v>0.0</v>
      </c>
      <c r="AR226" s="31">
        <f>MIN(AR$5,X225+AH226)</f>
        <v>0.0</v>
      </c>
      <c r="AS226" s="31">
        <f>MIN(AS$5,Y225+AI226)</f>
        <v>0.0</v>
      </c>
      <c r="AT226" s="31">
        <f>MIN(AT$5,Z225+AJ226)</f>
        <v>0.0</v>
      </c>
      <c r="AU226" s="31">
        <f>MIN(AU$5,AA225+AK226)</f>
        <v>0.0</v>
      </c>
    </row>
    <row r="227">
      <c r="A227" s="25" t="str">
        <f>IF(F226&gt;0.005,222,"")</f>
        <v/>
      </c>
      <c r="B227" s="33" t="str">
        <f>IF(A227="","",EDATE(Долги!$D$5,221))</f>
        <v/>
      </c>
      <c r="C227" s="31">
        <f>SUM(H227:Q227)</f>
        <v>0.0</v>
      </c>
      <c r="D227" s="31">
        <f>SUM(AB227:AK227)</f>
        <v>0.0</v>
      </c>
      <c r="E227" s="31">
        <f>C227-D227</f>
        <v>0.0</v>
      </c>
      <c r="F227" s="31">
        <f>SUM(R227:AA227)</f>
        <v>0.0</v>
      </c>
      <c r="G227" s="34" t="str">
        <f>IF(OR(A227="",$F$5&lt;=0),"",REPT("█",ROUND(20*F227/$F$5,0)))</f>
        <v/>
      </c>
      <c r="H227" s="31">
        <f>AL227+MIN(R226+AB227-AL227,MAX(0,ROUND(Долги!$D$19-SUM($AL227:$AU227),2)))</f>
        <v>0.0</v>
      </c>
      <c r="I227" s="31">
        <f>AM227+MIN(S226+AC227-AM227,MAX(0,ROUND(ROUND(Долги!$D$19-SUM($AL227:$AU227),2)-(SUM($H227:H227)-SUM($AL227:AL227)),2)))</f>
        <v>0.0</v>
      </c>
      <c r="J227" s="31">
        <f>AN227+MIN(T226+AD227-AN227,MAX(0,ROUND(ROUND(Долги!$D$19-SUM($AL227:$AU227),2)-(SUM($H227:I227)-SUM($AL227:AM227)),2)))</f>
        <v>0.0</v>
      </c>
      <c r="K227" s="31">
        <f>AO227+MIN(U226+AE227-AO227,MAX(0,ROUND(ROUND(Долги!$D$19-SUM($AL227:$AU227),2)-(SUM($H227:J227)-SUM($AL227:AN227)),2)))</f>
        <v>0.0</v>
      </c>
      <c r="L227" s="31">
        <f>AP227+MIN(V226+AF227-AP227,MAX(0,ROUND(ROUND(Долги!$D$19-SUM($AL227:$AU227),2)-(SUM($H227:K227)-SUM($AL227:AO227)),2)))</f>
        <v>0.0</v>
      </c>
      <c r="M227" s="31">
        <f>AQ227+MIN(W226+AG227-AQ227,MAX(0,ROUND(ROUND(Долги!$D$19-SUM($AL227:$AU227),2)-(SUM($H227:L227)-SUM($AL227:AP227)),2)))</f>
        <v>0.0</v>
      </c>
      <c r="N227" s="31">
        <f>AR227+MIN(X226+AH227-AR227,MAX(0,ROUND(ROUND(Долги!$D$19-SUM($AL227:$AU227),2)-(SUM($H227:M227)-SUM($AL227:AQ227)),2)))</f>
        <v>0.0</v>
      </c>
      <c r="O227" s="31">
        <f>AS227+MIN(Y226+AI227-AS227,MAX(0,ROUND(ROUND(Долги!$D$19-SUM($AL227:$AU227),2)-(SUM($H227:N227)-SUM($AL227:AR227)),2)))</f>
        <v>0.0</v>
      </c>
      <c r="P227" s="31">
        <f>AT227+MIN(Z226+AJ227-AT227,MAX(0,ROUND(ROUND(Долги!$D$19-SUM($AL227:$AU227),2)-(SUM($H227:O227)-SUM($AL227:AS227)),2)))</f>
        <v>0.0</v>
      </c>
      <c r="Q227" s="31">
        <f>AU227+MIN(AA226+AK227-AU227,MAX(0,ROUND(ROUND(Долги!$D$19-SUM($AL227:$AU227),2)-(SUM($H227:P227)-SUM($AL227:AT227)),2)))</f>
        <v>0.0</v>
      </c>
      <c r="R227" s="31">
        <f>IF(R226+AB227-H227&lt;=0.01,0,ROUND(R226+AB227-H227,2))</f>
        <v>0.0</v>
      </c>
      <c r="S227" s="31">
        <f>IF(S226+AC227-I227&lt;=0.01,0,ROUND(S226+AC227-I227,2))</f>
        <v>0.0</v>
      </c>
      <c r="T227" s="31">
        <f>IF(T226+AD227-J227&lt;=0.01,0,ROUND(T226+AD227-J227,2))</f>
        <v>0.0</v>
      </c>
      <c r="U227" s="31">
        <f>IF(U226+AE227-K227&lt;=0.01,0,ROUND(U226+AE227-K227,2))</f>
        <v>0.0</v>
      </c>
      <c r="V227" s="31">
        <f>IF(V226+AF227-L227&lt;=0.01,0,ROUND(V226+AF227-L227,2))</f>
        <v>0.0</v>
      </c>
      <c r="W227" s="31">
        <f>IF(W226+AG227-M227&lt;=0.01,0,ROUND(W226+AG227-M227,2))</f>
        <v>0.0</v>
      </c>
      <c r="X227" s="31">
        <f>IF(X226+AH227-N227&lt;=0.01,0,ROUND(X226+AH227-N227,2))</f>
        <v>0.0</v>
      </c>
      <c r="Y227" s="31">
        <f>IF(Y226+AI227-O227&lt;=0.01,0,ROUND(Y226+AI227-O227,2))</f>
        <v>0.0</v>
      </c>
      <c r="Z227" s="31">
        <f>IF(Z226+AJ227-P227&lt;=0.01,0,ROUND(Z226+AJ227-P227,2))</f>
        <v>0.0</v>
      </c>
      <c r="AA227" s="31">
        <f>IF(AA226+AK227-Q227&lt;=0.01,0,ROUND(AA226+AK227-Q227,2))</f>
        <v>0.0</v>
      </c>
      <c r="AB227" s="31">
        <f>ROUND(R226*AB$5/1200,2)</f>
        <v>0.0</v>
      </c>
      <c r="AC227" s="31">
        <f>ROUND(S226*AC$5/1200,2)</f>
        <v>0.0</v>
      </c>
      <c r="AD227" s="31">
        <f>ROUND(T226*AD$5/1200,2)</f>
        <v>0.0</v>
      </c>
      <c r="AE227" s="31">
        <f>ROUND(U226*AE$5/1200,2)</f>
        <v>0.0</v>
      </c>
      <c r="AF227" s="31">
        <f>ROUND(V226*AF$5/1200,2)</f>
        <v>0.0</v>
      </c>
      <c r="AG227" s="31">
        <f>ROUND(W226*AG$5/1200,2)</f>
        <v>0.0</v>
      </c>
      <c r="AH227" s="31">
        <f>ROUND(X226*AH$5/1200,2)</f>
        <v>0.0</v>
      </c>
      <c r="AI227" s="31">
        <f>ROUND(Y226*AI$5/1200,2)</f>
        <v>0.0</v>
      </c>
      <c r="AJ227" s="31">
        <f>ROUND(Z226*AJ$5/1200,2)</f>
        <v>0.0</v>
      </c>
      <c r="AK227" s="31">
        <f>ROUND(AA226*AK$5/1200,2)</f>
        <v>0.0</v>
      </c>
      <c r="AL227" s="31">
        <f>MIN(AL$5,R226+AB227)</f>
        <v>0.0</v>
      </c>
      <c r="AM227" s="31">
        <f>MIN(AM$5,S226+AC227)</f>
        <v>0.0</v>
      </c>
      <c r="AN227" s="31">
        <f>MIN(AN$5,T226+AD227)</f>
        <v>0.0</v>
      </c>
      <c r="AO227" s="31">
        <f>MIN(AO$5,U226+AE227)</f>
        <v>0.0</v>
      </c>
      <c r="AP227" s="31">
        <f>MIN(AP$5,V226+AF227)</f>
        <v>0.0</v>
      </c>
      <c r="AQ227" s="31">
        <f>MIN(AQ$5,W226+AG227)</f>
        <v>0.0</v>
      </c>
      <c r="AR227" s="31">
        <f>MIN(AR$5,X226+AH227)</f>
        <v>0.0</v>
      </c>
      <c r="AS227" s="31">
        <f>MIN(AS$5,Y226+AI227)</f>
        <v>0.0</v>
      </c>
      <c r="AT227" s="31">
        <f>MIN(AT$5,Z226+AJ227)</f>
        <v>0.0</v>
      </c>
      <c r="AU227" s="31">
        <f>MIN(AU$5,AA226+AK227)</f>
        <v>0.0</v>
      </c>
    </row>
    <row r="228">
      <c r="A228" s="25" t="str">
        <f>IF(F227&gt;0.005,223,"")</f>
        <v/>
      </c>
      <c r="B228" s="33" t="str">
        <f>IF(A228="","",EDATE(Долги!$D$5,222))</f>
        <v/>
      </c>
      <c r="C228" s="31">
        <f>SUM(H228:Q228)</f>
        <v>0.0</v>
      </c>
      <c r="D228" s="31">
        <f>SUM(AB228:AK228)</f>
        <v>0.0</v>
      </c>
      <c r="E228" s="31">
        <f>C228-D228</f>
        <v>0.0</v>
      </c>
      <c r="F228" s="31">
        <f>SUM(R228:AA228)</f>
        <v>0.0</v>
      </c>
      <c r="G228" s="34" t="str">
        <f>IF(OR(A228="",$F$5&lt;=0),"",REPT("█",ROUND(20*F228/$F$5,0)))</f>
        <v/>
      </c>
      <c r="H228" s="31">
        <f>AL228+MIN(R227+AB228-AL228,MAX(0,ROUND(Долги!$D$19-SUM($AL228:$AU228),2)))</f>
        <v>0.0</v>
      </c>
      <c r="I228" s="31">
        <f>AM228+MIN(S227+AC228-AM228,MAX(0,ROUND(ROUND(Долги!$D$19-SUM($AL228:$AU228),2)-(SUM($H228:H228)-SUM($AL228:AL228)),2)))</f>
        <v>0.0</v>
      </c>
      <c r="J228" s="31">
        <f>AN228+MIN(T227+AD228-AN228,MAX(0,ROUND(ROUND(Долги!$D$19-SUM($AL228:$AU228),2)-(SUM($H228:I228)-SUM($AL228:AM228)),2)))</f>
        <v>0.0</v>
      </c>
      <c r="K228" s="31">
        <f>AO228+MIN(U227+AE228-AO228,MAX(0,ROUND(ROUND(Долги!$D$19-SUM($AL228:$AU228),2)-(SUM($H228:J228)-SUM($AL228:AN228)),2)))</f>
        <v>0.0</v>
      </c>
      <c r="L228" s="31">
        <f>AP228+MIN(V227+AF228-AP228,MAX(0,ROUND(ROUND(Долги!$D$19-SUM($AL228:$AU228),2)-(SUM($H228:K228)-SUM($AL228:AO228)),2)))</f>
        <v>0.0</v>
      </c>
      <c r="M228" s="31">
        <f>AQ228+MIN(W227+AG228-AQ228,MAX(0,ROUND(ROUND(Долги!$D$19-SUM($AL228:$AU228),2)-(SUM($H228:L228)-SUM($AL228:AP228)),2)))</f>
        <v>0.0</v>
      </c>
      <c r="N228" s="31">
        <f>AR228+MIN(X227+AH228-AR228,MAX(0,ROUND(ROUND(Долги!$D$19-SUM($AL228:$AU228),2)-(SUM($H228:M228)-SUM($AL228:AQ228)),2)))</f>
        <v>0.0</v>
      </c>
      <c r="O228" s="31">
        <f>AS228+MIN(Y227+AI228-AS228,MAX(0,ROUND(ROUND(Долги!$D$19-SUM($AL228:$AU228),2)-(SUM($H228:N228)-SUM($AL228:AR228)),2)))</f>
        <v>0.0</v>
      </c>
      <c r="P228" s="31">
        <f>AT228+MIN(Z227+AJ228-AT228,MAX(0,ROUND(ROUND(Долги!$D$19-SUM($AL228:$AU228),2)-(SUM($H228:O228)-SUM($AL228:AS228)),2)))</f>
        <v>0.0</v>
      </c>
      <c r="Q228" s="31">
        <f>AU228+MIN(AA227+AK228-AU228,MAX(0,ROUND(ROUND(Долги!$D$19-SUM($AL228:$AU228),2)-(SUM($H228:P228)-SUM($AL228:AT228)),2)))</f>
        <v>0.0</v>
      </c>
      <c r="R228" s="31">
        <f>IF(R227+AB228-H228&lt;=0.01,0,ROUND(R227+AB228-H228,2))</f>
        <v>0.0</v>
      </c>
      <c r="S228" s="31">
        <f>IF(S227+AC228-I228&lt;=0.01,0,ROUND(S227+AC228-I228,2))</f>
        <v>0.0</v>
      </c>
      <c r="T228" s="31">
        <f>IF(T227+AD228-J228&lt;=0.01,0,ROUND(T227+AD228-J228,2))</f>
        <v>0.0</v>
      </c>
      <c r="U228" s="31">
        <f>IF(U227+AE228-K228&lt;=0.01,0,ROUND(U227+AE228-K228,2))</f>
        <v>0.0</v>
      </c>
      <c r="V228" s="31">
        <f>IF(V227+AF228-L228&lt;=0.01,0,ROUND(V227+AF228-L228,2))</f>
        <v>0.0</v>
      </c>
      <c r="W228" s="31">
        <f>IF(W227+AG228-M228&lt;=0.01,0,ROUND(W227+AG228-M228,2))</f>
        <v>0.0</v>
      </c>
      <c r="X228" s="31">
        <f>IF(X227+AH228-N228&lt;=0.01,0,ROUND(X227+AH228-N228,2))</f>
        <v>0.0</v>
      </c>
      <c r="Y228" s="31">
        <f>IF(Y227+AI228-O228&lt;=0.01,0,ROUND(Y227+AI228-O228,2))</f>
        <v>0.0</v>
      </c>
      <c r="Z228" s="31">
        <f>IF(Z227+AJ228-P228&lt;=0.01,0,ROUND(Z227+AJ228-P228,2))</f>
        <v>0.0</v>
      </c>
      <c r="AA228" s="31">
        <f>IF(AA227+AK228-Q228&lt;=0.01,0,ROUND(AA227+AK228-Q228,2))</f>
        <v>0.0</v>
      </c>
      <c r="AB228" s="31">
        <f>ROUND(R227*AB$5/1200,2)</f>
        <v>0.0</v>
      </c>
      <c r="AC228" s="31">
        <f>ROUND(S227*AC$5/1200,2)</f>
        <v>0.0</v>
      </c>
      <c r="AD228" s="31">
        <f>ROUND(T227*AD$5/1200,2)</f>
        <v>0.0</v>
      </c>
      <c r="AE228" s="31">
        <f>ROUND(U227*AE$5/1200,2)</f>
        <v>0.0</v>
      </c>
      <c r="AF228" s="31">
        <f>ROUND(V227*AF$5/1200,2)</f>
        <v>0.0</v>
      </c>
      <c r="AG228" s="31">
        <f>ROUND(W227*AG$5/1200,2)</f>
        <v>0.0</v>
      </c>
      <c r="AH228" s="31">
        <f>ROUND(X227*AH$5/1200,2)</f>
        <v>0.0</v>
      </c>
      <c r="AI228" s="31">
        <f>ROUND(Y227*AI$5/1200,2)</f>
        <v>0.0</v>
      </c>
      <c r="AJ228" s="31">
        <f>ROUND(Z227*AJ$5/1200,2)</f>
        <v>0.0</v>
      </c>
      <c r="AK228" s="31">
        <f>ROUND(AA227*AK$5/1200,2)</f>
        <v>0.0</v>
      </c>
      <c r="AL228" s="31">
        <f>MIN(AL$5,R227+AB228)</f>
        <v>0.0</v>
      </c>
      <c r="AM228" s="31">
        <f>MIN(AM$5,S227+AC228)</f>
        <v>0.0</v>
      </c>
      <c r="AN228" s="31">
        <f>MIN(AN$5,T227+AD228)</f>
        <v>0.0</v>
      </c>
      <c r="AO228" s="31">
        <f>MIN(AO$5,U227+AE228)</f>
        <v>0.0</v>
      </c>
      <c r="AP228" s="31">
        <f>MIN(AP$5,V227+AF228)</f>
        <v>0.0</v>
      </c>
      <c r="AQ228" s="31">
        <f>MIN(AQ$5,W227+AG228)</f>
        <v>0.0</v>
      </c>
      <c r="AR228" s="31">
        <f>MIN(AR$5,X227+AH228)</f>
        <v>0.0</v>
      </c>
      <c r="AS228" s="31">
        <f>MIN(AS$5,Y227+AI228)</f>
        <v>0.0</v>
      </c>
      <c r="AT228" s="31">
        <f>MIN(AT$5,Z227+AJ228)</f>
        <v>0.0</v>
      </c>
      <c r="AU228" s="31">
        <f>MIN(AU$5,AA227+AK228)</f>
        <v>0.0</v>
      </c>
    </row>
    <row r="229">
      <c r="A229" s="25" t="str">
        <f>IF(F228&gt;0.005,224,"")</f>
        <v/>
      </c>
      <c r="B229" s="33" t="str">
        <f>IF(A229="","",EDATE(Долги!$D$5,223))</f>
        <v/>
      </c>
      <c r="C229" s="31">
        <f>SUM(H229:Q229)</f>
        <v>0.0</v>
      </c>
      <c r="D229" s="31">
        <f>SUM(AB229:AK229)</f>
        <v>0.0</v>
      </c>
      <c r="E229" s="31">
        <f>C229-D229</f>
        <v>0.0</v>
      </c>
      <c r="F229" s="31">
        <f>SUM(R229:AA229)</f>
        <v>0.0</v>
      </c>
      <c r="G229" s="34" t="str">
        <f>IF(OR(A229="",$F$5&lt;=0),"",REPT("█",ROUND(20*F229/$F$5,0)))</f>
        <v/>
      </c>
      <c r="H229" s="31">
        <f>AL229+MIN(R228+AB229-AL229,MAX(0,ROUND(Долги!$D$19-SUM($AL229:$AU229),2)))</f>
        <v>0.0</v>
      </c>
      <c r="I229" s="31">
        <f>AM229+MIN(S228+AC229-AM229,MAX(0,ROUND(ROUND(Долги!$D$19-SUM($AL229:$AU229),2)-(SUM($H229:H229)-SUM($AL229:AL229)),2)))</f>
        <v>0.0</v>
      </c>
      <c r="J229" s="31">
        <f>AN229+MIN(T228+AD229-AN229,MAX(0,ROUND(ROUND(Долги!$D$19-SUM($AL229:$AU229),2)-(SUM($H229:I229)-SUM($AL229:AM229)),2)))</f>
        <v>0.0</v>
      </c>
      <c r="K229" s="31">
        <f>AO229+MIN(U228+AE229-AO229,MAX(0,ROUND(ROUND(Долги!$D$19-SUM($AL229:$AU229),2)-(SUM($H229:J229)-SUM($AL229:AN229)),2)))</f>
        <v>0.0</v>
      </c>
      <c r="L229" s="31">
        <f>AP229+MIN(V228+AF229-AP229,MAX(0,ROUND(ROUND(Долги!$D$19-SUM($AL229:$AU229),2)-(SUM($H229:K229)-SUM($AL229:AO229)),2)))</f>
        <v>0.0</v>
      </c>
      <c r="M229" s="31">
        <f>AQ229+MIN(W228+AG229-AQ229,MAX(0,ROUND(ROUND(Долги!$D$19-SUM($AL229:$AU229),2)-(SUM($H229:L229)-SUM($AL229:AP229)),2)))</f>
        <v>0.0</v>
      </c>
      <c r="N229" s="31">
        <f>AR229+MIN(X228+AH229-AR229,MAX(0,ROUND(ROUND(Долги!$D$19-SUM($AL229:$AU229),2)-(SUM($H229:M229)-SUM($AL229:AQ229)),2)))</f>
        <v>0.0</v>
      </c>
      <c r="O229" s="31">
        <f>AS229+MIN(Y228+AI229-AS229,MAX(0,ROUND(ROUND(Долги!$D$19-SUM($AL229:$AU229),2)-(SUM($H229:N229)-SUM($AL229:AR229)),2)))</f>
        <v>0.0</v>
      </c>
      <c r="P229" s="31">
        <f>AT229+MIN(Z228+AJ229-AT229,MAX(0,ROUND(ROUND(Долги!$D$19-SUM($AL229:$AU229),2)-(SUM($H229:O229)-SUM($AL229:AS229)),2)))</f>
        <v>0.0</v>
      </c>
      <c r="Q229" s="31">
        <f>AU229+MIN(AA228+AK229-AU229,MAX(0,ROUND(ROUND(Долги!$D$19-SUM($AL229:$AU229),2)-(SUM($H229:P229)-SUM($AL229:AT229)),2)))</f>
        <v>0.0</v>
      </c>
      <c r="R229" s="31">
        <f>IF(R228+AB229-H229&lt;=0.01,0,ROUND(R228+AB229-H229,2))</f>
        <v>0.0</v>
      </c>
      <c r="S229" s="31">
        <f>IF(S228+AC229-I229&lt;=0.01,0,ROUND(S228+AC229-I229,2))</f>
        <v>0.0</v>
      </c>
      <c r="T229" s="31">
        <f>IF(T228+AD229-J229&lt;=0.01,0,ROUND(T228+AD229-J229,2))</f>
        <v>0.0</v>
      </c>
      <c r="U229" s="31">
        <f>IF(U228+AE229-K229&lt;=0.01,0,ROUND(U228+AE229-K229,2))</f>
        <v>0.0</v>
      </c>
      <c r="V229" s="31">
        <f>IF(V228+AF229-L229&lt;=0.01,0,ROUND(V228+AF229-L229,2))</f>
        <v>0.0</v>
      </c>
      <c r="W229" s="31">
        <f>IF(W228+AG229-M229&lt;=0.01,0,ROUND(W228+AG229-M229,2))</f>
        <v>0.0</v>
      </c>
      <c r="X229" s="31">
        <f>IF(X228+AH229-N229&lt;=0.01,0,ROUND(X228+AH229-N229,2))</f>
        <v>0.0</v>
      </c>
      <c r="Y229" s="31">
        <f>IF(Y228+AI229-O229&lt;=0.01,0,ROUND(Y228+AI229-O229,2))</f>
        <v>0.0</v>
      </c>
      <c r="Z229" s="31">
        <f>IF(Z228+AJ229-P229&lt;=0.01,0,ROUND(Z228+AJ229-P229,2))</f>
        <v>0.0</v>
      </c>
      <c r="AA229" s="31">
        <f>IF(AA228+AK229-Q229&lt;=0.01,0,ROUND(AA228+AK229-Q229,2))</f>
        <v>0.0</v>
      </c>
      <c r="AB229" s="31">
        <f>ROUND(R228*AB$5/1200,2)</f>
        <v>0.0</v>
      </c>
      <c r="AC229" s="31">
        <f>ROUND(S228*AC$5/1200,2)</f>
        <v>0.0</v>
      </c>
      <c r="AD229" s="31">
        <f>ROUND(T228*AD$5/1200,2)</f>
        <v>0.0</v>
      </c>
      <c r="AE229" s="31">
        <f>ROUND(U228*AE$5/1200,2)</f>
        <v>0.0</v>
      </c>
      <c r="AF229" s="31">
        <f>ROUND(V228*AF$5/1200,2)</f>
        <v>0.0</v>
      </c>
      <c r="AG229" s="31">
        <f>ROUND(W228*AG$5/1200,2)</f>
        <v>0.0</v>
      </c>
      <c r="AH229" s="31">
        <f>ROUND(X228*AH$5/1200,2)</f>
        <v>0.0</v>
      </c>
      <c r="AI229" s="31">
        <f>ROUND(Y228*AI$5/1200,2)</f>
        <v>0.0</v>
      </c>
      <c r="AJ229" s="31">
        <f>ROUND(Z228*AJ$5/1200,2)</f>
        <v>0.0</v>
      </c>
      <c r="AK229" s="31">
        <f>ROUND(AA228*AK$5/1200,2)</f>
        <v>0.0</v>
      </c>
      <c r="AL229" s="31">
        <f>MIN(AL$5,R228+AB229)</f>
        <v>0.0</v>
      </c>
      <c r="AM229" s="31">
        <f>MIN(AM$5,S228+AC229)</f>
        <v>0.0</v>
      </c>
      <c r="AN229" s="31">
        <f>MIN(AN$5,T228+AD229)</f>
        <v>0.0</v>
      </c>
      <c r="AO229" s="31">
        <f>MIN(AO$5,U228+AE229)</f>
        <v>0.0</v>
      </c>
      <c r="AP229" s="31">
        <f>MIN(AP$5,V228+AF229)</f>
        <v>0.0</v>
      </c>
      <c r="AQ229" s="31">
        <f>MIN(AQ$5,W228+AG229)</f>
        <v>0.0</v>
      </c>
      <c r="AR229" s="31">
        <f>MIN(AR$5,X228+AH229)</f>
        <v>0.0</v>
      </c>
      <c r="AS229" s="31">
        <f>MIN(AS$5,Y228+AI229)</f>
        <v>0.0</v>
      </c>
      <c r="AT229" s="31">
        <f>MIN(AT$5,Z228+AJ229)</f>
        <v>0.0</v>
      </c>
      <c r="AU229" s="31">
        <f>MIN(AU$5,AA228+AK229)</f>
        <v>0.0</v>
      </c>
    </row>
    <row r="230">
      <c r="A230" s="25" t="str">
        <f>IF(F229&gt;0.005,225,"")</f>
        <v/>
      </c>
      <c r="B230" s="33" t="str">
        <f>IF(A230="","",EDATE(Долги!$D$5,224))</f>
        <v/>
      </c>
      <c r="C230" s="31">
        <f>SUM(H230:Q230)</f>
        <v>0.0</v>
      </c>
      <c r="D230" s="31">
        <f>SUM(AB230:AK230)</f>
        <v>0.0</v>
      </c>
      <c r="E230" s="31">
        <f>C230-D230</f>
        <v>0.0</v>
      </c>
      <c r="F230" s="31">
        <f>SUM(R230:AA230)</f>
        <v>0.0</v>
      </c>
      <c r="G230" s="34" t="str">
        <f>IF(OR(A230="",$F$5&lt;=0),"",REPT("█",ROUND(20*F230/$F$5,0)))</f>
        <v/>
      </c>
      <c r="H230" s="31">
        <f>AL230+MIN(R229+AB230-AL230,MAX(0,ROUND(Долги!$D$19-SUM($AL230:$AU230),2)))</f>
        <v>0.0</v>
      </c>
      <c r="I230" s="31">
        <f>AM230+MIN(S229+AC230-AM230,MAX(0,ROUND(ROUND(Долги!$D$19-SUM($AL230:$AU230),2)-(SUM($H230:H230)-SUM($AL230:AL230)),2)))</f>
        <v>0.0</v>
      </c>
      <c r="J230" s="31">
        <f>AN230+MIN(T229+AD230-AN230,MAX(0,ROUND(ROUND(Долги!$D$19-SUM($AL230:$AU230),2)-(SUM($H230:I230)-SUM($AL230:AM230)),2)))</f>
        <v>0.0</v>
      </c>
      <c r="K230" s="31">
        <f>AO230+MIN(U229+AE230-AO230,MAX(0,ROUND(ROUND(Долги!$D$19-SUM($AL230:$AU230),2)-(SUM($H230:J230)-SUM($AL230:AN230)),2)))</f>
        <v>0.0</v>
      </c>
      <c r="L230" s="31">
        <f>AP230+MIN(V229+AF230-AP230,MAX(0,ROUND(ROUND(Долги!$D$19-SUM($AL230:$AU230),2)-(SUM($H230:K230)-SUM($AL230:AO230)),2)))</f>
        <v>0.0</v>
      </c>
      <c r="M230" s="31">
        <f>AQ230+MIN(W229+AG230-AQ230,MAX(0,ROUND(ROUND(Долги!$D$19-SUM($AL230:$AU230),2)-(SUM($H230:L230)-SUM($AL230:AP230)),2)))</f>
        <v>0.0</v>
      </c>
      <c r="N230" s="31">
        <f>AR230+MIN(X229+AH230-AR230,MAX(0,ROUND(ROUND(Долги!$D$19-SUM($AL230:$AU230),2)-(SUM($H230:M230)-SUM($AL230:AQ230)),2)))</f>
        <v>0.0</v>
      </c>
      <c r="O230" s="31">
        <f>AS230+MIN(Y229+AI230-AS230,MAX(0,ROUND(ROUND(Долги!$D$19-SUM($AL230:$AU230),2)-(SUM($H230:N230)-SUM($AL230:AR230)),2)))</f>
        <v>0.0</v>
      </c>
      <c r="P230" s="31">
        <f>AT230+MIN(Z229+AJ230-AT230,MAX(0,ROUND(ROUND(Долги!$D$19-SUM($AL230:$AU230),2)-(SUM($H230:O230)-SUM($AL230:AS230)),2)))</f>
        <v>0.0</v>
      </c>
      <c r="Q230" s="31">
        <f>AU230+MIN(AA229+AK230-AU230,MAX(0,ROUND(ROUND(Долги!$D$19-SUM($AL230:$AU230),2)-(SUM($H230:P230)-SUM($AL230:AT230)),2)))</f>
        <v>0.0</v>
      </c>
      <c r="R230" s="31">
        <f>IF(R229+AB230-H230&lt;=0.01,0,ROUND(R229+AB230-H230,2))</f>
        <v>0.0</v>
      </c>
      <c r="S230" s="31">
        <f>IF(S229+AC230-I230&lt;=0.01,0,ROUND(S229+AC230-I230,2))</f>
        <v>0.0</v>
      </c>
      <c r="T230" s="31">
        <f>IF(T229+AD230-J230&lt;=0.01,0,ROUND(T229+AD230-J230,2))</f>
        <v>0.0</v>
      </c>
      <c r="U230" s="31">
        <f>IF(U229+AE230-K230&lt;=0.01,0,ROUND(U229+AE230-K230,2))</f>
        <v>0.0</v>
      </c>
      <c r="V230" s="31">
        <f>IF(V229+AF230-L230&lt;=0.01,0,ROUND(V229+AF230-L230,2))</f>
        <v>0.0</v>
      </c>
      <c r="W230" s="31">
        <f>IF(W229+AG230-M230&lt;=0.01,0,ROUND(W229+AG230-M230,2))</f>
        <v>0.0</v>
      </c>
      <c r="X230" s="31">
        <f>IF(X229+AH230-N230&lt;=0.01,0,ROUND(X229+AH230-N230,2))</f>
        <v>0.0</v>
      </c>
      <c r="Y230" s="31">
        <f>IF(Y229+AI230-O230&lt;=0.01,0,ROUND(Y229+AI230-O230,2))</f>
        <v>0.0</v>
      </c>
      <c r="Z230" s="31">
        <f>IF(Z229+AJ230-P230&lt;=0.01,0,ROUND(Z229+AJ230-P230,2))</f>
        <v>0.0</v>
      </c>
      <c r="AA230" s="31">
        <f>IF(AA229+AK230-Q230&lt;=0.01,0,ROUND(AA229+AK230-Q230,2))</f>
        <v>0.0</v>
      </c>
      <c r="AB230" s="31">
        <f>ROUND(R229*AB$5/1200,2)</f>
        <v>0.0</v>
      </c>
      <c r="AC230" s="31">
        <f>ROUND(S229*AC$5/1200,2)</f>
        <v>0.0</v>
      </c>
      <c r="AD230" s="31">
        <f>ROUND(T229*AD$5/1200,2)</f>
        <v>0.0</v>
      </c>
      <c r="AE230" s="31">
        <f>ROUND(U229*AE$5/1200,2)</f>
        <v>0.0</v>
      </c>
      <c r="AF230" s="31">
        <f>ROUND(V229*AF$5/1200,2)</f>
        <v>0.0</v>
      </c>
      <c r="AG230" s="31">
        <f>ROUND(W229*AG$5/1200,2)</f>
        <v>0.0</v>
      </c>
      <c r="AH230" s="31">
        <f>ROUND(X229*AH$5/1200,2)</f>
        <v>0.0</v>
      </c>
      <c r="AI230" s="31">
        <f>ROUND(Y229*AI$5/1200,2)</f>
        <v>0.0</v>
      </c>
      <c r="AJ230" s="31">
        <f>ROUND(Z229*AJ$5/1200,2)</f>
        <v>0.0</v>
      </c>
      <c r="AK230" s="31">
        <f>ROUND(AA229*AK$5/1200,2)</f>
        <v>0.0</v>
      </c>
      <c r="AL230" s="31">
        <f>MIN(AL$5,R229+AB230)</f>
        <v>0.0</v>
      </c>
      <c r="AM230" s="31">
        <f>MIN(AM$5,S229+AC230)</f>
        <v>0.0</v>
      </c>
      <c r="AN230" s="31">
        <f>MIN(AN$5,T229+AD230)</f>
        <v>0.0</v>
      </c>
      <c r="AO230" s="31">
        <f>MIN(AO$5,U229+AE230)</f>
        <v>0.0</v>
      </c>
      <c r="AP230" s="31">
        <f>MIN(AP$5,V229+AF230)</f>
        <v>0.0</v>
      </c>
      <c r="AQ230" s="31">
        <f>MIN(AQ$5,W229+AG230)</f>
        <v>0.0</v>
      </c>
      <c r="AR230" s="31">
        <f>MIN(AR$5,X229+AH230)</f>
        <v>0.0</v>
      </c>
      <c r="AS230" s="31">
        <f>MIN(AS$5,Y229+AI230)</f>
        <v>0.0</v>
      </c>
      <c r="AT230" s="31">
        <f>MIN(AT$5,Z229+AJ230)</f>
        <v>0.0</v>
      </c>
      <c r="AU230" s="31">
        <f>MIN(AU$5,AA229+AK230)</f>
        <v>0.0</v>
      </c>
    </row>
    <row r="231">
      <c r="A231" s="25" t="str">
        <f>IF(F230&gt;0.005,226,"")</f>
        <v/>
      </c>
      <c r="B231" s="33" t="str">
        <f>IF(A231="","",EDATE(Долги!$D$5,225))</f>
        <v/>
      </c>
      <c r="C231" s="31">
        <f>SUM(H231:Q231)</f>
        <v>0.0</v>
      </c>
      <c r="D231" s="31">
        <f>SUM(AB231:AK231)</f>
        <v>0.0</v>
      </c>
      <c r="E231" s="31">
        <f>C231-D231</f>
        <v>0.0</v>
      </c>
      <c r="F231" s="31">
        <f>SUM(R231:AA231)</f>
        <v>0.0</v>
      </c>
      <c r="G231" s="34" t="str">
        <f>IF(OR(A231="",$F$5&lt;=0),"",REPT("█",ROUND(20*F231/$F$5,0)))</f>
        <v/>
      </c>
      <c r="H231" s="31">
        <f>AL231+MIN(R230+AB231-AL231,MAX(0,ROUND(Долги!$D$19-SUM($AL231:$AU231),2)))</f>
        <v>0.0</v>
      </c>
      <c r="I231" s="31">
        <f>AM231+MIN(S230+AC231-AM231,MAX(0,ROUND(ROUND(Долги!$D$19-SUM($AL231:$AU231),2)-(SUM($H231:H231)-SUM($AL231:AL231)),2)))</f>
        <v>0.0</v>
      </c>
      <c r="J231" s="31">
        <f>AN231+MIN(T230+AD231-AN231,MAX(0,ROUND(ROUND(Долги!$D$19-SUM($AL231:$AU231),2)-(SUM($H231:I231)-SUM($AL231:AM231)),2)))</f>
        <v>0.0</v>
      </c>
      <c r="K231" s="31">
        <f>AO231+MIN(U230+AE231-AO231,MAX(0,ROUND(ROUND(Долги!$D$19-SUM($AL231:$AU231),2)-(SUM($H231:J231)-SUM($AL231:AN231)),2)))</f>
        <v>0.0</v>
      </c>
      <c r="L231" s="31">
        <f>AP231+MIN(V230+AF231-AP231,MAX(0,ROUND(ROUND(Долги!$D$19-SUM($AL231:$AU231),2)-(SUM($H231:K231)-SUM($AL231:AO231)),2)))</f>
        <v>0.0</v>
      </c>
      <c r="M231" s="31">
        <f>AQ231+MIN(W230+AG231-AQ231,MAX(0,ROUND(ROUND(Долги!$D$19-SUM($AL231:$AU231),2)-(SUM($H231:L231)-SUM($AL231:AP231)),2)))</f>
        <v>0.0</v>
      </c>
      <c r="N231" s="31">
        <f>AR231+MIN(X230+AH231-AR231,MAX(0,ROUND(ROUND(Долги!$D$19-SUM($AL231:$AU231),2)-(SUM($H231:M231)-SUM($AL231:AQ231)),2)))</f>
        <v>0.0</v>
      </c>
      <c r="O231" s="31">
        <f>AS231+MIN(Y230+AI231-AS231,MAX(0,ROUND(ROUND(Долги!$D$19-SUM($AL231:$AU231),2)-(SUM($H231:N231)-SUM($AL231:AR231)),2)))</f>
        <v>0.0</v>
      </c>
      <c r="P231" s="31">
        <f>AT231+MIN(Z230+AJ231-AT231,MAX(0,ROUND(ROUND(Долги!$D$19-SUM($AL231:$AU231),2)-(SUM($H231:O231)-SUM($AL231:AS231)),2)))</f>
        <v>0.0</v>
      </c>
      <c r="Q231" s="31">
        <f>AU231+MIN(AA230+AK231-AU231,MAX(0,ROUND(ROUND(Долги!$D$19-SUM($AL231:$AU231),2)-(SUM($H231:P231)-SUM($AL231:AT231)),2)))</f>
        <v>0.0</v>
      </c>
      <c r="R231" s="31">
        <f>IF(R230+AB231-H231&lt;=0.01,0,ROUND(R230+AB231-H231,2))</f>
        <v>0.0</v>
      </c>
      <c r="S231" s="31">
        <f>IF(S230+AC231-I231&lt;=0.01,0,ROUND(S230+AC231-I231,2))</f>
        <v>0.0</v>
      </c>
      <c r="T231" s="31">
        <f>IF(T230+AD231-J231&lt;=0.01,0,ROUND(T230+AD231-J231,2))</f>
        <v>0.0</v>
      </c>
      <c r="U231" s="31">
        <f>IF(U230+AE231-K231&lt;=0.01,0,ROUND(U230+AE231-K231,2))</f>
        <v>0.0</v>
      </c>
      <c r="V231" s="31">
        <f>IF(V230+AF231-L231&lt;=0.01,0,ROUND(V230+AF231-L231,2))</f>
        <v>0.0</v>
      </c>
      <c r="W231" s="31">
        <f>IF(W230+AG231-M231&lt;=0.01,0,ROUND(W230+AG231-M231,2))</f>
        <v>0.0</v>
      </c>
      <c r="X231" s="31">
        <f>IF(X230+AH231-N231&lt;=0.01,0,ROUND(X230+AH231-N231,2))</f>
        <v>0.0</v>
      </c>
      <c r="Y231" s="31">
        <f>IF(Y230+AI231-O231&lt;=0.01,0,ROUND(Y230+AI231-O231,2))</f>
        <v>0.0</v>
      </c>
      <c r="Z231" s="31">
        <f>IF(Z230+AJ231-P231&lt;=0.01,0,ROUND(Z230+AJ231-P231,2))</f>
        <v>0.0</v>
      </c>
      <c r="AA231" s="31">
        <f>IF(AA230+AK231-Q231&lt;=0.01,0,ROUND(AA230+AK231-Q231,2))</f>
        <v>0.0</v>
      </c>
      <c r="AB231" s="31">
        <f>ROUND(R230*AB$5/1200,2)</f>
        <v>0.0</v>
      </c>
      <c r="AC231" s="31">
        <f>ROUND(S230*AC$5/1200,2)</f>
        <v>0.0</v>
      </c>
      <c r="AD231" s="31">
        <f>ROUND(T230*AD$5/1200,2)</f>
        <v>0.0</v>
      </c>
      <c r="AE231" s="31">
        <f>ROUND(U230*AE$5/1200,2)</f>
        <v>0.0</v>
      </c>
      <c r="AF231" s="31">
        <f>ROUND(V230*AF$5/1200,2)</f>
        <v>0.0</v>
      </c>
      <c r="AG231" s="31">
        <f>ROUND(W230*AG$5/1200,2)</f>
        <v>0.0</v>
      </c>
      <c r="AH231" s="31">
        <f>ROUND(X230*AH$5/1200,2)</f>
        <v>0.0</v>
      </c>
      <c r="AI231" s="31">
        <f>ROUND(Y230*AI$5/1200,2)</f>
        <v>0.0</v>
      </c>
      <c r="AJ231" s="31">
        <f>ROUND(Z230*AJ$5/1200,2)</f>
        <v>0.0</v>
      </c>
      <c r="AK231" s="31">
        <f>ROUND(AA230*AK$5/1200,2)</f>
        <v>0.0</v>
      </c>
      <c r="AL231" s="31">
        <f>MIN(AL$5,R230+AB231)</f>
        <v>0.0</v>
      </c>
      <c r="AM231" s="31">
        <f>MIN(AM$5,S230+AC231)</f>
        <v>0.0</v>
      </c>
      <c r="AN231" s="31">
        <f>MIN(AN$5,T230+AD231)</f>
        <v>0.0</v>
      </c>
      <c r="AO231" s="31">
        <f>MIN(AO$5,U230+AE231)</f>
        <v>0.0</v>
      </c>
      <c r="AP231" s="31">
        <f>MIN(AP$5,V230+AF231)</f>
        <v>0.0</v>
      </c>
      <c r="AQ231" s="31">
        <f>MIN(AQ$5,W230+AG231)</f>
        <v>0.0</v>
      </c>
      <c r="AR231" s="31">
        <f>MIN(AR$5,X230+AH231)</f>
        <v>0.0</v>
      </c>
      <c r="AS231" s="31">
        <f>MIN(AS$5,Y230+AI231)</f>
        <v>0.0</v>
      </c>
      <c r="AT231" s="31">
        <f>MIN(AT$5,Z230+AJ231)</f>
        <v>0.0</v>
      </c>
      <c r="AU231" s="31">
        <f>MIN(AU$5,AA230+AK231)</f>
        <v>0.0</v>
      </c>
    </row>
    <row r="232">
      <c r="A232" s="25" t="str">
        <f>IF(F231&gt;0.005,227,"")</f>
        <v/>
      </c>
      <c r="B232" s="33" t="str">
        <f>IF(A232="","",EDATE(Долги!$D$5,226))</f>
        <v/>
      </c>
      <c r="C232" s="31">
        <f>SUM(H232:Q232)</f>
        <v>0.0</v>
      </c>
      <c r="D232" s="31">
        <f>SUM(AB232:AK232)</f>
        <v>0.0</v>
      </c>
      <c r="E232" s="31">
        <f>C232-D232</f>
        <v>0.0</v>
      </c>
      <c r="F232" s="31">
        <f>SUM(R232:AA232)</f>
        <v>0.0</v>
      </c>
      <c r="G232" s="34" t="str">
        <f>IF(OR(A232="",$F$5&lt;=0),"",REPT("█",ROUND(20*F232/$F$5,0)))</f>
        <v/>
      </c>
      <c r="H232" s="31">
        <f>AL232+MIN(R231+AB232-AL232,MAX(0,ROUND(Долги!$D$19-SUM($AL232:$AU232),2)))</f>
        <v>0.0</v>
      </c>
      <c r="I232" s="31">
        <f>AM232+MIN(S231+AC232-AM232,MAX(0,ROUND(ROUND(Долги!$D$19-SUM($AL232:$AU232),2)-(SUM($H232:H232)-SUM($AL232:AL232)),2)))</f>
        <v>0.0</v>
      </c>
      <c r="J232" s="31">
        <f>AN232+MIN(T231+AD232-AN232,MAX(0,ROUND(ROUND(Долги!$D$19-SUM($AL232:$AU232),2)-(SUM($H232:I232)-SUM($AL232:AM232)),2)))</f>
        <v>0.0</v>
      </c>
      <c r="K232" s="31">
        <f>AO232+MIN(U231+AE232-AO232,MAX(0,ROUND(ROUND(Долги!$D$19-SUM($AL232:$AU232),2)-(SUM($H232:J232)-SUM($AL232:AN232)),2)))</f>
        <v>0.0</v>
      </c>
      <c r="L232" s="31">
        <f>AP232+MIN(V231+AF232-AP232,MAX(0,ROUND(ROUND(Долги!$D$19-SUM($AL232:$AU232),2)-(SUM($H232:K232)-SUM($AL232:AO232)),2)))</f>
        <v>0.0</v>
      </c>
      <c r="M232" s="31">
        <f>AQ232+MIN(W231+AG232-AQ232,MAX(0,ROUND(ROUND(Долги!$D$19-SUM($AL232:$AU232),2)-(SUM($H232:L232)-SUM($AL232:AP232)),2)))</f>
        <v>0.0</v>
      </c>
      <c r="N232" s="31">
        <f>AR232+MIN(X231+AH232-AR232,MAX(0,ROUND(ROUND(Долги!$D$19-SUM($AL232:$AU232),2)-(SUM($H232:M232)-SUM($AL232:AQ232)),2)))</f>
        <v>0.0</v>
      </c>
      <c r="O232" s="31">
        <f>AS232+MIN(Y231+AI232-AS232,MAX(0,ROUND(ROUND(Долги!$D$19-SUM($AL232:$AU232),2)-(SUM($H232:N232)-SUM($AL232:AR232)),2)))</f>
        <v>0.0</v>
      </c>
      <c r="P232" s="31">
        <f>AT232+MIN(Z231+AJ232-AT232,MAX(0,ROUND(ROUND(Долги!$D$19-SUM($AL232:$AU232),2)-(SUM($H232:O232)-SUM($AL232:AS232)),2)))</f>
        <v>0.0</v>
      </c>
      <c r="Q232" s="31">
        <f>AU232+MIN(AA231+AK232-AU232,MAX(0,ROUND(ROUND(Долги!$D$19-SUM($AL232:$AU232),2)-(SUM($H232:P232)-SUM($AL232:AT232)),2)))</f>
        <v>0.0</v>
      </c>
      <c r="R232" s="31">
        <f>IF(R231+AB232-H232&lt;=0.01,0,ROUND(R231+AB232-H232,2))</f>
        <v>0.0</v>
      </c>
      <c r="S232" s="31">
        <f>IF(S231+AC232-I232&lt;=0.01,0,ROUND(S231+AC232-I232,2))</f>
        <v>0.0</v>
      </c>
      <c r="T232" s="31">
        <f>IF(T231+AD232-J232&lt;=0.01,0,ROUND(T231+AD232-J232,2))</f>
        <v>0.0</v>
      </c>
      <c r="U232" s="31">
        <f>IF(U231+AE232-K232&lt;=0.01,0,ROUND(U231+AE232-K232,2))</f>
        <v>0.0</v>
      </c>
      <c r="V232" s="31">
        <f>IF(V231+AF232-L232&lt;=0.01,0,ROUND(V231+AF232-L232,2))</f>
        <v>0.0</v>
      </c>
      <c r="W232" s="31">
        <f>IF(W231+AG232-M232&lt;=0.01,0,ROUND(W231+AG232-M232,2))</f>
        <v>0.0</v>
      </c>
      <c r="X232" s="31">
        <f>IF(X231+AH232-N232&lt;=0.01,0,ROUND(X231+AH232-N232,2))</f>
        <v>0.0</v>
      </c>
      <c r="Y232" s="31">
        <f>IF(Y231+AI232-O232&lt;=0.01,0,ROUND(Y231+AI232-O232,2))</f>
        <v>0.0</v>
      </c>
      <c r="Z232" s="31">
        <f>IF(Z231+AJ232-P232&lt;=0.01,0,ROUND(Z231+AJ232-P232,2))</f>
        <v>0.0</v>
      </c>
      <c r="AA232" s="31">
        <f>IF(AA231+AK232-Q232&lt;=0.01,0,ROUND(AA231+AK232-Q232,2))</f>
        <v>0.0</v>
      </c>
      <c r="AB232" s="31">
        <f>ROUND(R231*AB$5/1200,2)</f>
        <v>0.0</v>
      </c>
      <c r="AC232" s="31">
        <f>ROUND(S231*AC$5/1200,2)</f>
        <v>0.0</v>
      </c>
      <c r="AD232" s="31">
        <f>ROUND(T231*AD$5/1200,2)</f>
        <v>0.0</v>
      </c>
      <c r="AE232" s="31">
        <f>ROUND(U231*AE$5/1200,2)</f>
        <v>0.0</v>
      </c>
      <c r="AF232" s="31">
        <f>ROUND(V231*AF$5/1200,2)</f>
        <v>0.0</v>
      </c>
      <c r="AG232" s="31">
        <f>ROUND(W231*AG$5/1200,2)</f>
        <v>0.0</v>
      </c>
      <c r="AH232" s="31">
        <f>ROUND(X231*AH$5/1200,2)</f>
        <v>0.0</v>
      </c>
      <c r="AI232" s="31">
        <f>ROUND(Y231*AI$5/1200,2)</f>
        <v>0.0</v>
      </c>
      <c r="AJ232" s="31">
        <f>ROUND(Z231*AJ$5/1200,2)</f>
        <v>0.0</v>
      </c>
      <c r="AK232" s="31">
        <f>ROUND(AA231*AK$5/1200,2)</f>
        <v>0.0</v>
      </c>
      <c r="AL232" s="31">
        <f>MIN(AL$5,R231+AB232)</f>
        <v>0.0</v>
      </c>
      <c r="AM232" s="31">
        <f>MIN(AM$5,S231+AC232)</f>
        <v>0.0</v>
      </c>
      <c r="AN232" s="31">
        <f>MIN(AN$5,T231+AD232)</f>
        <v>0.0</v>
      </c>
      <c r="AO232" s="31">
        <f>MIN(AO$5,U231+AE232)</f>
        <v>0.0</v>
      </c>
      <c r="AP232" s="31">
        <f>MIN(AP$5,V231+AF232)</f>
        <v>0.0</v>
      </c>
      <c r="AQ232" s="31">
        <f>MIN(AQ$5,W231+AG232)</f>
        <v>0.0</v>
      </c>
      <c r="AR232" s="31">
        <f>MIN(AR$5,X231+AH232)</f>
        <v>0.0</v>
      </c>
      <c r="AS232" s="31">
        <f>MIN(AS$5,Y231+AI232)</f>
        <v>0.0</v>
      </c>
      <c r="AT232" s="31">
        <f>MIN(AT$5,Z231+AJ232)</f>
        <v>0.0</v>
      </c>
      <c r="AU232" s="31">
        <f>MIN(AU$5,AA231+AK232)</f>
        <v>0.0</v>
      </c>
    </row>
    <row r="233">
      <c r="A233" s="25" t="str">
        <f>IF(F232&gt;0.005,228,"")</f>
        <v/>
      </c>
      <c r="B233" s="33" t="str">
        <f>IF(A233="","",EDATE(Долги!$D$5,227))</f>
        <v/>
      </c>
      <c r="C233" s="31">
        <f>SUM(H233:Q233)</f>
        <v>0.0</v>
      </c>
      <c r="D233" s="31">
        <f>SUM(AB233:AK233)</f>
        <v>0.0</v>
      </c>
      <c r="E233" s="31">
        <f>C233-D233</f>
        <v>0.0</v>
      </c>
      <c r="F233" s="31">
        <f>SUM(R233:AA233)</f>
        <v>0.0</v>
      </c>
      <c r="G233" s="34" t="str">
        <f>IF(OR(A233="",$F$5&lt;=0),"",REPT("█",ROUND(20*F233/$F$5,0)))</f>
        <v/>
      </c>
      <c r="H233" s="31">
        <f>AL233+MIN(R232+AB233-AL233,MAX(0,ROUND(Долги!$D$19-SUM($AL233:$AU233),2)))</f>
        <v>0.0</v>
      </c>
      <c r="I233" s="31">
        <f>AM233+MIN(S232+AC233-AM233,MAX(0,ROUND(ROUND(Долги!$D$19-SUM($AL233:$AU233),2)-(SUM($H233:H233)-SUM($AL233:AL233)),2)))</f>
        <v>0.0</v>
      </c>
      <c r="J233" s="31">
        <f>AN233+MIN(T232+AD233-AN233,MAX(0,ROUND(ROUND(Долги!$D$19-SUM($AL233:$AU233),2)-(SUM($H233:I233)-SUM($AL233:AM233)),2)))</f>
        <v>0.0</v>
      </c>
      <c r="K233" s="31">
        <f>AO233+MIN(U232+AE233-AO233,MAX(0,ROUND(ROUND(Долги!$D$19-SUM($AL233:$AU233),2)-(SUM($H233:J233)-SUM($AL233:AN233)),2)))</f>
        <v>0.0</v>
      </c>
      <c r="L233" s="31">
        <f>AP233+MIN(V232+AF233-AP233,MAX(0,ROUND(ROUND(Долги!$D$19-SUM($AL233:$AU233),2)-(SUM($H233:K233)-SUM($AL233:AO233)),2)))</f>
        <v>0.0</v>
      </c>
      <c r="M233" s="31">
        <f>AQ233+MIN(W232+AG233-AQ233,MAX(0,ROUND(ROUND(Долги!$D$19-SUM($AL233:$AU233),2)-(SUM($H233:L233)-SUM($AL233:AP233)),2)))</f>
        <v>0.0</v>
      </c>
      <c r="N233" s="31">
        <f>AR233+MIN(X232+AH233-AR233,MAX(0,ROUND(ROUND(Долги!$D$19-SUM($AL233:$AU233),2)-(SUM($H233:M233)-SUM($AL233:AQ233)),2)))</f>
        <v>0.0</v>
      </c>
      <c r="O233" s="31">
        <f>AS233+MIN(Y232+AI233-AS233,MAX(0,ROUND(ROUND(Долги!$D$19-SUM($AL233:$AU233),2)-(SUM($H233:N233)-SUM($AL233:AR233)),2)))</f>
        <v>0.0</v>
      </c>
      <c r="P233" s="31">
        <f>AT233+MIN(Z232+AJ233-AT233,MAX(0,ROUND(ROUND(Долги!$D$19-SUM($AL233:$AU233),2)-(SUM($H233:O233)-SUM($AL233:AS233)),2)))</f>
        <v>0.0</v>
      </c>
      <c r="Q233" s="31">
        <f>AU233+MIN(AA232+AK233-AU233,MAX(0,ROUND(ROUND(Долги!$D$19-SUM($AL233:$AU233),2)-(SUM($H233:P233)-SUM($AL233:AT233)),2)))</f>
        <v>0.0</v>
      </c>
      <c r="R233" s="31">
        <f>IF(R232+AB233-H233&lt;=0.01,0,ROUND(R232+AB233-H233,2))</f>
        <v>0.0</v>
      </c>
      <c r="S233" s="31">
        <f>IF(S232+AC233-I233&lt;=0.01,0,ROUND(S232+AC233-I233,2))</f>
        <v>0.0</v>
      </c>
      <c r="T233" s="31">
        <f>IF(T232+AD233-J233&lt;=0.01,0,ROUND(T232+AD233-J233,2))</f>
        <v>0.0</v>
      </c>
      <c r="U233" s="31">
        <f>IF(U232+AE233-K233&lt;=0.01,0,ROUND(U232+AE233-K233,2))</f>
        <v>0.0</v>
      </c>
      <c r="V233" s="31">
        <f>IF(V232+AF233-L233&lt;=0.01,0,ROUND(V232+AF233-L233,2))</f>
        <v>0.0</v>
      </c>
      <c r="W233" s="31">
        <f>IF(W232+AG233-M233&lt;=0.01,0,ROUND(W232+AG233-M233,2))</f>
        <v>0.0</v>
      </c>
      <c r="X233" s="31">
        <f>IF(X232+AH233-N233&lt;=0.01,0,ROUND(X232+AH233-N233,2))</f>
        <v>0.0</v>
      </c>
      <c r="Y233" s="31">
        <f>IF(Y232+AI233-O233&lt;=0.01,0,ROUND(Y232+AI233-O233,2))</f>
        <v>0.0</v>
      </c>
      <c r="Z233" s="31">
        <f>IF(Z232+AJ233-P233&lt;=0.01,0,ROUND(Z232+AJ233-P233,2))</f>
        <v>0.0</v>
      </c>
      <c r="AA233" s="31">
        <f>IF(AA232+AK233-Q233&lt;=0.01,0,ROUND(AA232+AK233-Q233,2))</f>
        <v>0.0</v>
      </c>
      <c r="AB233" s="31">
        <f>ROUND(R232*AB$5/1200,2)</f>
        <v>0.0</v>
      </c>
      <c r="AC233" s="31">
        <f>ROUND(S232*AC$5/1200,2)</f>
        <v>0.0</v>
      </c>
      <c r="AD233" s="31">
        <f>ROUND(T232*AD$5/1200,2)</f>
        <v>0.0</v>
      </c>
      <c r="AE233" s="31">
        <f>ROUND(U232*AE$5/1200,2)</f>
        <v>0.0</v>
      </c>
      <c r="AF233" s="31">
        <f>ROUND(V232*AF$5/1200,2)</f>
        <v>0.0</v>
      </c>
      <c r="AG233" s="31">
        <f>ROUND(W232*AG$5/1200,2)</f>
        <v>0.0</v>
      </c>
      <c r="AH233" s="31">
        <f>ROUND(X232*AH$5/1200,2)</f>
        <v>0.0</v>
      </c>
      <c r="AI233" s="31">
        <f>ROUND(Y232*AI$5/1200,2)</f>
        <v>0.0</v>
      </c>
      <c r="AJ233" s="31">
        <f>ROUND(Z232*AJ$5/1200,2)</f>
        <v>0.0</v>
      </c>
      <c r="AK233" s="31">
        <f>ROUND(AA232*AK$5/1200,2)</f>
        <v>0.0</v>
      </c>
      <c r="AL233" s="31">
        <f>MIN(AL$5,R232+AB233)</f>
        <v>0.0</v>
      </c>
      <c r="AM233" s="31">
        <f>MIN(AM$5,S232+AC233)</f>
        <v>0.0</v>
      </c>
      <c r="AN233" s="31">
        <f>MIN(AN$5,T232+AD233)</f>
        <v>0.0</v>
      </c>
      <c r="AO233" s="31">
        <f>MIN(AO$5,U232+AE233)</f>
        <v>0.0</v>
      </c>
      <c r="AP233" s="31">
        <f>MIN(AP$5,V232+AF233)</f>
        <v>0.0</v>
      </c>
      <c r="AQ233" s="31">
        <f>MIN(AQ$5,W232+AG233)</f>
        <v>0.0</v>
      </c>
      <c r="AR233" s="31">
        <f>MIN(AR$5,X232+AH233)</f>
        <v>0.0</v>
      </c>
      <c r="AS233" s="31">
        <f>MIN(AS$5,Y232+AI233)</f>
        <v>0.0</v>
      </c>
      <c r="AT233" s="31">
        <f>MIN(AT$5,Z232+AJ233)</f>
        <v>0.0</v>
      </c>
      <c r="AU233" s="31">
        <f>MIN(AU$5,AA232+AK233)</f>
        <v>0.0</v>
      </c>
    </row>
    <row r="234">
      <c r="A234" s="25" t="str">
        <f>IF(F233&gt;0.005,229,"")</f>
        <v/>
      </c>
      <c r="B234" s="33" t="str">
        <f>IF(A234="","",EDATE(Долги!$D$5,228))</f>
        <v/>
      </c>
      <c r="C234" s="31">
        <f>SUM(H234:Q234)</f>
        <v>0.0</v>
      </c>
      <c r="D234" s="31">
        <f>SUM(AB234:AK234)</f>
        <v>0.0</v>
      </c>
      <c r="E234" s="31">
        <f>C234-D234</f>
        <v>0.0</v>
      </c>
      <c r="F234" s="31">
        <f>SUM(R234:AA234)</f>
        <v>0.0</v>
      </c>
      <c r="G234" s="34" t="str">
        <f>IF(OR(A234="",$F$5&lt;=0),"",REPT("█",ROUND(20*F234/$F$5,0)))</f>
        <v/>
      </c>
      <c r="H234" s="31">
        <f>AL234+MIN(R233+AB234-AL234,MAX(0,ROUND(Долги!$D$19-SUM($AL234:$AU234),2)))</f>
        <v>0.0</v>
      </c>
      <c r="I234" s="31">
        <f>AM234+MIN(S233+AC234-AM234,MAX(0,ROUND(ROUND(Долги!$D$19-SUM($AL234:$AU234),2)-(SUM($H234:H234)-SUM($AL234:AL234)),2)))</f>
        <v>0.0</v>
      </c>
      <c r="J234" s="31">
        <f>AN234+MIN(T233+AD234-AN234,MAX(0,ROUND(ROUND(Долги!$D$19-SUM($AL234:$AU234),2)-(SUM($H234:I234)-SUM($AL234:AM234)),2)))</f>
        <v>0.0</v>
      </c>
      <c r="K234" s="31">
        <f>AO234+MIN(U233+AE234-AO234,MAX(0,ROUND(ROUND(Долги!$D$19-SUM($AL234:$AU234),2)-(SUM($H234:J234)-SUM($AL234:AN234)),2)))</f>
        <v>0.0</v>
      </c>
      <c r="L234" s="31">
        <f>AP234+MIN(V233+AF234-AP234,MAX(0,ROUND(ROUND(Долги!$D$19-SUM($AL234:$AU234),2)-(SUM($H234:K234)-SUM($AL234:AO234)),2)))</f>
        <v>0.0</v>
      </c>
      <c r="M234" s="31">
        <f>AQ234+MIN(W233+AG234-AQ234,MAX(0,ROUND(ROUND(Долги!$D$19-SUM($AL234:$AU234),2)-(SUM($H234:L234)-SUM($AL234:AP234)),2)))</f>
        <v>0.0</v>
      </c>
      <c r="N234" s="31">
        <f>AR234+MIN(X233+AH234-AR234,MAX(0,ROUND(ROUND(Долги!$D$19-SUM($AL234:$AU234),2)-(SUM($H234:M234)-SUM($AL234:AQ234)),2)))</f>
        <v>0.0</v>
      </c>
      <c r="O234" s="31">
        <f>AS234+MIN(Y233+AI234-AS234,MAX(0,ROUND(ROUND(Долги!$D$19-SUM($AL234:$AU234),2)-(SUM($H234:N234)-SUM($AL234:AR234)),2)))</f>
        <v>0.0</v>
      </c>
      <c r="P234" s="31">
        <f>AT234+MIN(Z233+AJ234-AT234,MAX(0,ROUND(ROUND(Долги!$D$19-SUM($AL234:$AU234),2)-(SUM($H234:O234)-SUM($AL234:AS234)),2)))</f>
        <v>0.0</v>
      </c>
      <c r="Q234" s="31">
        <f>AU234+MIN(AA233+AK234-AU234,MAX(0,ROUND(ROUND(Долги!$D$19-SUM($AL234:$AU234),2)-(SUM($H234:P234)-SUM($AL234:AT234)),2)))</f>
        <v>0.0</v>
      </c>
      <c r="R234" s="31">
        <f>IF(R233+AB234-H234&lt;=0.01,0,ROUND(R233+AB234-H234,2))</f>
        <v>0.0</v>
      </c>
      <c r="S234" s="31">
        <f>IF(S233+AC234-I234&lt;=0.01,0,ROUND(S233+AC234-I234,2))</f>
        <v>0.0</v>
      </c>
      <c r="T234" s="31">
        <f>IF(T233+AD234-J234&lt;=0.01,0,ROUND(T233+AD234-J234,2))</f>
        <v>0.0</v>
      </c>
      <c r="U234" s="31">
        <f>IF(U233+AE234-K234&lt;=0.01,0,ROUND(U233+AE234-K234,2))</f>
        <v>0.0</v>
      </c>
      <c r="V234" s="31">
        <f>IF(V233+AF234-L234&lt;=0.01,0,ROUND(V233+AF234-L234,2))</f>
        <v>0.0</v>
      </c>
      <c r="W234" s="31">
        <f>IF(W233+AG234-M234&lt;=0.01,0,ROUND(W233+AG234-M234,2))</f>
        <v>0.0</v>
      </c>
      <c r="X234" s="31">
        <f>IF(X233+AH234-N234&lt;=0.01,0,ROUND(X233+AH234-N234,2))</f>
        <v>0.0</v>
      </c>
      <c r="Y234" s="31">
        <f>IF(Y233+AI234-O234&lt;=0.01,0,ROUND(Y233+AI234-O234,2))</f>
        <v>0.0</v>
      </c>
      <c r="Z234" s="31">
        <f>IF(Z233+AJ234-P234&lt;=0.01,0,ROUND(Z233+AJ234-P234,2))</f>
        <v>0.0</v>
      </c>
      <c r="AA234" s="31">
        <f>IF(AA233+AK234-Q234&lt;=0.01,0,ROUND(AA233+AK234-Q234,2))</f>
        <v>0.0</v>
      </c>
      <c r="AB234" s="31">
        <f>ROUND(R233*AB$5/1200,2)</f>
        <v>0.0</v>
      </c>
      <c r="AC234" s="31">
        <f>ROUND(S233*AC$5/1200,2)</f>
        <v>0.0</v>
      </c>
      <c r="AD234" s="31">
        <f>ROUND(T233*AD$5/1200,2)</f>
        <v>0.0</v>
      </c>
      <c r="AE234" s="31">
        <f>ROUND(U233*AE$5/1200,2)</f>
        <v>0.0</v>
      </c>
      <c r="AF234" s="31">
        <f>ROUND(V233*AF$5/1200,2)</f>
        <v>0.0</v>
      </c>
      <c r="AG234" s="31">
        <f>ROUND(W233*AG$5/1200,2)</f>
        <v>0.0</v>
      </c>
      <c r="AH234" s="31">
        <f>ROUND(X233*AH$5/1200,2)</f>
        <v>0.0</v>
      </c>
      <c r="AI234" s="31">
        <f>ROUND(Y233*AI$5/1200,2)</f>
        <v>0.0</v>
      </c>
      <c r="AJ234" s="31">
        <f>ROUND(Z233*AJ$5/1200,2)</f>
        <v>0.0</v>
      </c>
      <c r="AK234" s="31">
        <f>ROUND(AA233*AK$5/1200,2)</f>
        <v>0.0</v>
      </c>
      <c r="AL234" s="31">
        <f>MIN(AL$5,R233+AB234)</f>
        <v>0.0</v>
      </c>
      <c r="AM234" s="31">
        <f>MIN(AM$5,S233+AC234)</f>
        <v>0.0</v>
      </c>
      <c r="AN234" s="31">
        <f>MIN(AN$5,T233+AD234)</f>
        <v>0.0</v>
      </c>
      <c r="AO234" s="31">
        <f>MIN(AO$5,U233+AE234)</f>
        <v>0.0</v>
      </c>
      <c r="AP234" s="31">
        <f>MIN(AP$5,V233+AF234)</f>
        <v>0.0</v>
      </c>
      <c r="AQ234" s="31">
        <f>MIN(AQ$5,W233+AG234)</f>
        <v>0.0</v>
      </c>
      <c r="AR234" s="31">
        <f>MIN(AR$5,X233+AH234)</f>
        <v>0.0</v>
      </c>
      <c r="AS234" s="31">
        <f>MIN(AS$5,Y233+AI234)</f>
        <v>0.0</v>
      </c>
      <c r="AT234" s="31">
        <f>MIN(AT$5,Z233+AJ234)</f>
        <v>0.0</v>
      </c>
      <c r="AU234" s="31">
        <f>MIN(AU$5,AA233+AK234)</f>
        <v>0.0</v>
      </c>
    </row>
    <row r="235">
      <c r="A235" s="25" t="str">
        <f>IF(F234&gt;0.005,230,"")</f>
        <v/>
      </c>
      <c r="B235" s="33" t="str">
        <f>IF(A235="","",EDATE(Долги!$D$5,229))</f>
        <v/>
      </c>
      <c r="C235" s="31">
        <f>SUM(H235:Q235)</f>
        <v>0.0</v>
      </c>
      <c r="D235" s="31">
        <f>SUM(AB235:AK235)</f>
        <v>0.0</v>
      </c>
      <c r="E235" s="31">
        <f>C235-D235</f>
        <v>0.0</v>
      </c>
      <c r="F235" s="31">
        <f>SUM(R235:AA235)</f>
        <v>0.0</v>
      </c>
      <c r="G235" s="34" t="str">
        <f>IF(OR(A235="",$F$5&lt;=0),"",REPT("█",ROUND(20*F235/$F$5,0)))</f>
        <v/>
      </c>
      <c r="H235" s="31">
        <f>AL235+MIN(R234+AB235-AL235,MAX(0,ROUND(Долги!$D$19-SUM($AL235:$AU235),2)))</f>
        <v>0.0</v>
      </c>
      <c r="I235" s="31">
        <f>AM235+MIN(S234+AC235-AM235,MAX(0,ROUND(ROUND(Долги!$D$19-SUM($AL235:$AU235),2)-(SUM($H235:H235)-SUM($AL235:AL235)),2)))</f>
        <v>0.0</v>
      </c>
      <c r="J235" s="31">
        <f>AN235+MIN(T234+AD235-AN235,MAX(0,ROUND(ROUND(Долги!$D$19-SUM($AL235:$AU235),2)-(SUM($H235:I235)-SUM($AL235:AM235)),2)))</f>
        <v>0.0</v>
      </c>
      <c r="K235" s="31">
        <f>AO235+MIN(U234+AE235-AO235,MAX(0,ROUND(ROUND(Долги!$D$19-SUM($AL235:$AU235),2)-(SUM($H235:J235)-SUM($AL235:AN235)),2)))</f>
        <v>0.0</v>
      </c>
      <c r="L235" s="31">
        <f>AP235+MIN(V234+AF235-AP235,MAX(0,ROUND(ROUND(Долги!$D$19-SUM($AL235:$AU235),2)-(SUM($H235:K235)-SUM($AL235:AO235)),2)))</f>
        <v>0.0</v>
      </c>
      <c r="M235" s="31">
        <f>AQ235+MIN(W234+AG235-AQ235,MAX(0,ROUND(ROUND(Долги!$D$19-SUM($AL235:$AU235),2)-(SUM($H235:L235)-SUM($AL235:AP235)),2)))</f>
        <v>0.0</v>
      </c>
      <c r="N235" s="31">
        <f>AR235+MIN(X234+AH235-AR235,MAX(0,ROUND(ROUND(Долги!$D$19-SUM($AL235:$AU235),2)-(SUM($H235:M235)-SUM($AL235:AQ235)),2)))</f>
        <v>0.0</v>
      </c>
      <c r="O235" s="31">
        <f>AS235+MIN(Y234+AI235-AS235,MAX(0,ROUND(ROUND(Долги!$D$19-SUM($AL235:$AU235),2)-(SUM($H235:N235)-SUM($AL235:AR235)),2)))</f>
        <v>0.0</v>
      </c>
      <c r="P235" s="31">
        <f>AT235+MIN(Z234+AJ235-AT235,MAX(0,ROUND(ROUND(Долги!$D$19-SUM($AL235:$AU235),2)-(SUM($H235:O235)-SUM($AL235:AS235)),2)))</f>
        <v>0.0</v>
      </c>
      <c r="Q235" s="31">
        <f>AU235+MIN(AA234+AK235-AU235,MAX(0,ROUND(ROUND(Долги!$D$19-SUM($AL235:$AU235),2)-(SUM($H235:P235)-SUM($AL235:AT235)),2)))</f>
        <v>0.0</v>
      </c>
      <c r="R235" s="31">
        <f>IF(R234+AB235-H235&lt;=0.01,0,ROUND(R234+AB235-H235,2))</f>
        <v>0.0</v>
      </c>
      <c r="S235" s="31">
        <f>IF(S234+AC235-I235&lt;=0.01,0,ROUND(S234+AC235-I235,2))</f>
        <v>0.0</v>
      </c>
      <c r="T235" s="31">
        <f>IF(T234+AD235-J235&lt;=0.01,0,ROUND(T234+AD235-J235,2))</f>
        <v>0.0</v>
      </c>
      <c r="U235" s="31">
        <f>IF(U234+AE235-K235&lt;=0.01,0,ROUND(U234+AE235-K235,2))</f>
        <v>0.0</v>
      </c>
      <c r="V235" s="31">
        <f>IF(V234+AF235-L235&lt;=0.01,0,ROUND(V234+AF235-L235,2))</f>
        <v>0.0</v>
      </c>
      <c r="W235" s="31">
        <f>IF(W234+AG235-M235&lt;=0.01,0,ROUND(W234+AG235-M235,2))</f>
        <v>0.0</v>
      </c>
      <c r="X235" s="31">
        <f>IF(X234+AH235-N235&lt;=0.01,0,ROUND(X234+AH235-N235,2))</f>
        <v>0.0</v>
      </c>
      <c r="Y235" s="31">
        <f>IF(Y234+AI235-O235&lt;=0.01,0,ROUND(Y234+AI235-O235,2))</f>
        <v>0.0</v>
      </c>
      <c r="Z235" s="31">
        <f>IF(Z234+AJ235-P235&lt;=0.01,0,ROUND(Z234+AJ235-P235,2))</f>
        <v>0.0</v>
      </c>
      <c r="AA235" s="31">
        <f>IF(AA234+AK235-Q235&lt;=0.01,0,ROUND(AA234+AK235-Q235,2))</f>
        <v>0.0</v>
      </c>
      <c r="AB235" s="31">
        <f>ROUND(R234*AB$5/1200,2)</f>
        <v>0.0</v>
      </c>
      <c r="AC235" s="31">
        <f>ROUND(S234*AC$5/1200,2)</f>
        <v>0.0</v>
      </c>
      <c r="AD235" s="31">
        <f>ROUND(T234*AD$5/1200,2)</f>
        <v>0.0</v>
      </c>
      <c r="AE235" s="31">
        <f>ROUND(U234*AE$5/1200,2)</f>
        <v>0.0</v>
      </c>
      <c r="AF235" s="31">
        <f>ROUND(V234*AF$5/1200,2)</f>
        <v>0.0</v>
      </c>
      <c r="AG235" s="31">
        <f>ROUND(W234*AG$5/1200,2)</f>
        <v>0.0</v>
      </c>
      <c r="AH235" s="31">
        <f>ROUND(X234*AH$5/1200,2)</f>
        <v>0.0</v>
      </c>
      <c r="AI235" s="31">
        <f>ROUND(Y234*AI$5/1200,2)</f>
        <v>0.0</v>
      </c>
      <c r="AJ235" s="31">
        <f>ROUND(Z234*AJ$5/1200,2)</f>
        <v>0.0</v>
      </c>
      <c r="AK235" s="31">
        <f>ROUND(AA234*AK$5/1200,2)</f>
        <v>0.0</v>
      </c>
      <c r="AL235" s="31">
        <f>MIN(AL$5,R234+AB235)</f>
        <v>0.0</v>
      </c>
      <c r="AM235" s="31">
        <f>MIN(AM$5,S234+AC235)</f>
        <v>0.0</v>
      </c>
      <c r="AN235" s="31">
        <f>MIN(AN$5,T234+AD235)</f>
        <v>0.0</v>
      </c>
      <c r="AO235" s="31">
        <f>MIN(AO$5,U234+AE235)</f>
        <v>0.0</v>
      </c>
      <c r="AP235" s="31">
        <f>MIN(AP$5,V234+AF235)</f>
        <v>0.0</v>
      </c>
      <c r="AQ235" s="31">
        <f>MIN(AQ$5,W234+AG235)</f>
        <v>0.0</v>
      </c>
      <c r="AR235" s="31">
        <f>MIN(AR$5,X234+AH235)</f>
        <v>0.0</v>
      </c>
      <c r="AS235" s="31">
        <f>MIN(AS$5,Y234+AI235)</f>
        <v>0.0</v>
      </c>
      <c r="AT235" s="31">
        <f>MIN(AT$5,Z234+AJ235)</f>
        <v>0.0</v>
      </c>
      <c r="AU235" s="31">
        <f>MIN(AU$5,AA234+AK235)</f>
        <v>0.0</v>
      </c>
    </row>
    <row r="236">
      <c r="A236" s="25" t="str">
        <f>IF(F235&gt;0.005,231,"")</f>
        <v/>
      </c>
      <c r="B236" s="33" t="str">
        <f>IF(A236="","",EDATE(Долги!$D$5,230))</f>
        <v/>
      </c>
      <c r="C236" s="31">
        <f>SUM(H236:Q236)</f>
        <v>0.0</v>
      </c>
      <c r="D236" s="31">
        <f>SUM(AB236:AK236)</f>
        <v>0.0</v>
      </c>
      <c r="E236" s="31">
        <f>C236-D236</f>
        <v>0.0</v>
      </c>
      <c r="F236" s="31">
        <f>SUM(R236:AA236)</f>
        <v>0.0</v>
      </c>
      <c r="G236" s="34" t="str">
        <f>IF(OR(A236="",$F$5&lt;=0),"",REPT("█",ROUND(20*F236/$F$5,0)))</f>
        <v/>
      </c>
      <c r="H236" s="31">
        <f>AL236+MIN(R235+AB236-AL236,MAX(0,ROUND(Долги!$D$19-SUM($AL236:$AU236),2)))</f>
        <v>0.0</v>
      </c>
      <c r="I236" s="31">
        <f>AM236+MIN(S235+AC236-AM236,MAX(0,ROUND(ROUND(Долги!$D$19-SUM($AL236:$AU236),2)-(SUM($H236:H236)-SUM($AL236:AL236)),2)))</f>
        <v>0.0</v>
      </c>
      <c r="J236" s="31">
        <f>AN236+MIN(T235+AD236-AN236,MAX(0,ROUND(ROUND(Долги!$D$19-SUM($AL236:$AU236),2)-(SUM($H236:I236)-SUM($AL236:AM236)),2)))</f>
        <v>0.0</v>
      </c>
      <c r="K236" s="31">
        <f>AO236+MIN(U235+AE236-AO236,MAX(0,ROUND(ROUND(Долги!$D$19-SUM($AL236:$AU236),2)-(SUM($H236:J236)-SUM($AL236:AN236)),2)))</f>
        <v>0.0</v>
      </c>
      <c r="L236" s="31">
        <f>AP236+MIN(V235+AF236-AP236,MAX(0,ROUND(ROUND(Долги!$D$19-SUM($AL236:$AU236),2)-(SUM($H236:K236)-SUM($AL236:AO236)),2)))</f>
        <v>0.0</v>
      </c>
      <c r="M236" s="31">
        <f>AQ236+MIN(W235+AG236-AQ236,MAX(0,ROUND(ROUND(Долги!$D$19-SUM($AL236:$AU236),2)-(SUM($H236:L236)-SUM($AL236:AP236)),2)))</f>
        <v>0.0</v>
      </c>
      <c r="N236" s="31">
        <f>AR236+MIN(X235+AH236-AR236,MAX(0,ROUND(ROUND(Долги!$D$19-SUM($AL236:$AU236),2)-(SUM($H236:M236)-SUM($AL236:AQ236)),2)))</f>
        <v>0.0</v>
      </c>
      <c r="O236" s="31">
        <f>AS236+MIN(Y235+AI236-AS236,MAX(0,ROUND(ROUND(Долги!$D$19-SUM($AL236:$AU236),2)-(SUM($H236:N236)-SUM($AL236:AR236)),2)))</f>
        <v>0.0</v>
      </c>
      <c r="P236" s="31">
        <f>AT236+MIN(Z235+AJ236-AT236,MAX(0,ROUND(ROUND(Долги!$D$19-SUM($AL236:$AU236),2)-(SUM($H236:O236)-SUM($AL236:AS236)),2)))</f>
        <v>0.0</v>
      </c>
      <c r="Q236" s="31">
        <f>AU236+MIN(AA235+AK236-AU236,MAX(0,ROUND(ROUND(Долги!$D$19-SUM($AL236:$AU236),2)-(SUM($H236:P236)-SUM($AL236:AT236)),2)))</f>
        <v>0.0</v>
      </c>
      <c r="R236" s="31">
        <f>IF(R235+AB236-H236&lt;=0.01,0,ROUND(R235+AB236-H236,2))</f>
        <v>0.0</v>
      </c>
      <c r="S236" s="31">
        <f>IF(S235+AC236-I236&lt;=0.01,0,ROUND(S235+AC236-I236,2))</f>
        <v>0.0</v>
      </c>
      <c r="T236" s="31">
        <f>IF(T235+AD236-J236&lt;=0.01,0,ROUND(T235+AD236-J236,2))</f>
        <v>0.0</v>
      </c>
      <c r="U236" s="31">
        <f>IF(U235+AE236-K236&lt;=0.01,0,ROUND(U235+AE236-K236,2))</f>
        <v>0.0</v>
      </c>
      <c r="V236" s="31">
        <f>IF(V235+AF236-L236&lt;=0.01,0,ROUND(V235+AF236-L236,2))</f>
        <v>0.0</v>
      </c>
      <c r="W236" s="31">
        <f>IF(W235+AG236-M236&lt;=0.01,0,ROUND(W235+AG236-M236,2))</f>
        <v>0.0</v>
      </c>
      <c r="X236" s="31">
        <f>IF(X235+AH236-N236&lt;=0.01,0,ROUND(X235+AH236-N236,2))</f>
        <v>0.0</v>
      </c>
      <c r="Y236" s="31">
        <f>IF(Y235+AI236-O236&lt;=0.01,0,ROUND(Y235+AI236-O236,2))</f>
        <v>0.0</v>
      </c>
      <c r="Z236" s="31">
        <f>IF(Z235+AJ236-P236&lt;=0.01,0,ROUND(Z235+AJ236-P236,2))</f>
        <v>0.0</v>
      </c>
      <c r="AA236" s="31">
        <f>IF(AA235+AK236-Q236&lt;=0.01,0,ROUND(AA235+AK236-Q236,2))</f>
        <v>0.0</v>
      </c>
      <c r="AB236" s="31">
        <f>ROUND(R235*AB$5/1200,2)</f>
        <v>0.0</v>
      </c>
      <c r="AC236" s="31">
        <f>ROUND(S235*AC$5/1200,2)</f>
        <v>0.0</v>
      </c>
      <c r="AD236" s="31">
        <f>ROUND(T235*AD$5/1200,2)</f>
        <v>0.0</v>
      </c>
      <c r="AE236" s="31">
        <f>ROUND(U235*AE$5/1200,2)</f>
        <v>0.0</v>
      </c>
      <c r="AF236" s="31">
        <f>ROUND(V235*AF$5/1200,2)</f>
        <v>0.0</v>
      </c>
      <c r="AG236" s="31">
        <f>ROUND(W235*AG$5/1200,2)</f>
        <v>0.0</v>
      </c>
      <c r="AH236" s="31">
        <f>ROUND(X235*AH$5/1200,2)</f>
        <v>0.0</v>
      </c>
      <c r="AI236" s="31">
        <f>ROUND(Y235*AI$5/1200,2)</f>
        <v>0.0</v>
      </c>
      <c r="AJ236" s="31">
        <f>ROUND(Z235*AJ$5/1200,2)</f>
        <v>0.0</v>
      </c>
      <c r="AK236" s="31">
        <f>ROUND(AA235*AK$5/1200,2)</f>
        <v>0.0</v>
      </c>
      <c r="AL236" s="31">
        <f>MIN(AL$5,R235+AB236)</f>
        <v>0.0</v>
      </c>
      <c r="AM236" s="31">
        <f>MIN(AM$5,S235+AC236)</f>
        <v>0.0</v>
      </c>
      <c r="AN236" s="31">
        <f>MIN(AN$5,T235+AD236)</f>
        <v>0.0</v>
      </c>
      <c r="AO236" s="31">
        <f>MIN(AO$5,U235+AE236)</f>
        <v>0.0</v>
      </c>
      <c r="AP236" s="31">
        <f>MIN(AP$5,V235+AF236)</f>
        <v>0.0</v>
      </c>
      <c r="AQ236" s="31">
        <f>MIN(AQ$5,W235+AG236)</f>
        <v>0.0</v>
      </c>
      <c r="AR236" s="31">
        <f>MIN(AR$5,X235+AH236)</f>
        <v>0.0</v>
      </c>
      <c r="AS236" s="31">
        <f>MIN(AS$5,Y235+AI236)</f>
        <v>0.0</v>
      </c>
      <c r="AT236" s="31">
        <f>MIN(AT$5,Z235+AJ236)</f>
        <v>0.0</v>
      </c>
      <c r="AU236" s="31">
        <f>MIN(AU$5,AA235+AK236)</f>
        <v>0.0</v>
      </c>
    </row>
    <row r="237">
      <c r="A237" s="25" t="str">
        <f>IF(F236&gt;0.005,232,"")</f>
        <v/>
      </c>
      <c r="B237" s="33" t="str">
        <f>IF(A237="","",EDATE(Долги!$D$5,231))</f>
        <v/>
      </c>
      <c r="C237" s="31">
        <f>SUM(H237:Q237)</f>
        <v>0.0</v>
      </c>
      <c r="D237" s="31">
        <f>SUM(AB237:AK237)</f>
        <v>0.0</v>
      </c>
      <c r="E237" s="31">
        <f>C237-D237</f>
        <v>0.0</v>
      </c>
      <c r="F237" s="31">
        <f>SUM(R237:AA237)</f>
        <v>0.0</v>
      </c>
      <c r="G237" s="34" t="str">
        <f>IF(OR(A237="",$F$5&lt;=0),"",REPT("█",ROUND(20*F237/$F$5,0)))</f>
        <v/>
      </c>
      <c r="H237" s="31">
        <f>AL237+MIN(R236+AB237-AL237,MAX(0,ROUND(Долги!$D$19-SUM($AL237:$AU237),2)))</f>
        <v>0.0</v>
      </c>
      <c r="I237" s="31">
        <f>AM237+MIN(S236+AC237-AM237,MAX(0,ROUND(ROUND(Долги!$D$19-SUM($AL237:$AU237),2)-(SUM($H237:H237)-SUM($AL237:AL237)),2)))</f>
        <v>0.0</v>
      </c>
      <c r="J237" s="31">
        <f>AN237+MIN(T236+AD237-AN237,MAX(0,ROUND(ROUND(Долги!$D$19-SUM($AL237:$AU237),2)-(SUM($H237:I237)-SUM($AL237:AM237)),2)))</f>
        <v>0.0</v>
      </c>
      <c r="K237" s="31">
        <f>AO237+MIN(U236+AE237-AO237,MAX(0,ROUND(ROUND(Долги!$D$19-SUM($AL237:$AU237),2)-(SUM($H237:J237)-SUM($AL237:AN237)),2)))</f>
        <v>0.0</v>
      </c>
      <c r="L237" s="31">
        <f>AP237+MIN(V236+AF237-AP237,MAX(0,ROUND(ROUND(Долги!$D$19-SUM($AL237:$AU237),2)-(SUM($H237:K237)-SUM($AL237:AO237)),2)))</f>
        <v>0.0</v>
      </c>
      <c r="M237" s="31">
        <f>AQ237+MIN(W236+AG237-AQ237,MAX(0,ROUND(ROUND(Долги!$D$19-SUM($AL237:$AU237),2)-(SUM($H237:L237)-SUM($AL237:AP237)),2)))</f>
        <v>0.0</v>
      </c>
      <c r="N237" s="31">
        <f>AR237+MIN(X236+AH237-AR237,MAX(0,ROUND(ROUND(Долги!$D$19-SUM($AL237:$AU237),2)-(SUM($H237:M237)-SUM($AL237:AQ237)),2)))</f>
        <v>0.0</v>
      </c>
      <c r="O237" s="31">
        <f>AS237+MIN(Y236+AI237-AS237,MAX(0,ROUND(ROUND(Долги!$D$19-SUM($AL237:$AU237),2)-(SUM($H237:N237)-SUM($AL237:AR237)),2)))</f>
        <v>0.0</v>
      </c>
      <c r="P237" s="31">
        <f>AT237+MIN(Z236+AJ237-AT237,MAX(0,ROUND(ROUND(Долги!$D$19-SUM($AL237:$AU237),2)-(SUM($H237:O237)-SUM($AL237:AS237)),2)))</f>
        <v>0.0</v>
      </c>
      <c r="Q237" s="31">
        <f>AU237+MIN(AA236+AK237-AU237,MAX(0,ROUND(ROUND(Долги!$D$19-SUM($AL237:$AU237),2)-(SUM($H237:P237)-SUM($AL237:AT237)),2)))</f>
        <v>0.0</v>
      </c>
      <c r="R237" s="31">
        <f>IF(R236+AB237-H237&lt;=0.01,0,ROUND(R236+AB237-H237,2))</f>
        <v>0.0</v>
      </c>
      <c r="S237" s="31">
        <f>IF(S236+AC237-I237&lt;=0.01,0,ROUND(S236+AC237-I237,2))</f>
        <v>0.0</v>
      </c>
      <c r="T237" s="31">
        <f>IF(T236+AD237-J237&lt;=0.01,0,ROUND(T236+AD237-J237,2))</f>
        <v>0.0</v>
      </c>
      <c r="U237" s="31">
        <f>IF(U236+AE237-K237&lt;=0.01,0,ROUND(U236+AE237-K237,2))</f>
        <v>0.0</v>
      </c>
      <c r="V237" s="31">
        <f>IF(V236+AF237-L237&lt;=0.01,0,ROUND(V236+AF237-L237,2))</f>
        <v>0.0</v>
      </c>
      <c r="W237" s="31">
        <f>IF(W236+AG237-M237&lt;=0.01,0,ROUND(W236+AG237-M237,2))</f>
        <v>0.0</v>
      </c>
      <c r="X237" s="31">
        <f>IF(X236+AH237-N237&lt;=0.01,0,ROUND(X236+AH237-N237,2))</f>
        <v>0.0</v>
      </c>
      <c r="Y237" s="31">
        <f>IF(Y236+AI237-O237&lt;=0.01,0,ROUND(Y236+AI237-O237,2))</f>
        <v>0.0</v>
      </c>
      <c r="Z237" s="31">
        <f>IF(Z236+AJ237-P237&lt;=0.01,0,ROUND(Z236+AJ237-P237,2))</f>
        <v>0.0</v>
      </c>
      <c r="AA237" s="31">
        <f>IF(AA236+AK237-Q237&lt;=0.01,0,ROUND(AA236+AK237-Q237,2))</f>
        <v>0.0</v>
      </c>
      <c r="AB237" s="31">
        <f>ROUND(R236*AB$5/1200,2)</f>
        <v>0.0</v>
      </c>
      <c r="AC237" s="31">
        <f>ROUND(S236*AC$5/1200,2)</f>
        <v>0.0</v>
      </c>
      <c r="AD237" s="31">
        <f>ROUND(T236*AD$5/1200,2)</f>
        <v>0.0</v>
      </c>
      <c r="AE237" s="31">
        <f>ROUND(U236*AE$5/1200,2)</f>
        <v>0.0</v>
      </c>
      <c r="AF237" s="31">
        <f>ROUND(V236*AF$5/1200,2)</f>
        <v>0.0</v>
      </c>
      <c r="AG237" s="31">
        <f>ROUND(W236*AG$5/1200,2)</f>
        <v>0.0</v>
      </c>
      <c r="AH237" s="31">
        <f>ROUND(X236*AH$5/1200,2)</f>
        <v>0.0</v>
      </c>
      <c r="AI237" s="31">
        <f>ROUND(Y236*AI$5/1200,2)</f>
        <v>0.0</v>
      </c>
      <c r="AJ237" s="31">
        <f>ROUND(Z236*AJ$5/1200,2)</f>
        <v>0.0</v>
      </c>
      <c r="AK237" s="31">
        <f>ROUND(AA236*AK$5/1200,2)</f>
        <v>0.0</v>
      </c>
      <c r="AL237" s="31">
        <f>MIN(AL$5,R236+AB237)</f>
        <v>0.0</v>
      </c>
      <c r="AM237" s="31">
        <f>MIN(AM$5,S236+AC237)</f>
        <v>0.0</v>
      </c>
      <c r="AN237" s="31">
        <f>MIN(AN$5,T236+AD237)</f>
        <v>0.0</v>
      </c>
      <c r="AO237" s="31">
        <f>MIN(AO$5,U236+AE237)</f>
        <v>0.0</v>
      </c>
      <c r="AP237" s="31">
        <f>MIN(AP$5,V236+AF237)</f>
        <v>0.0</v>
      </c>
      <c r="AQ237" s="31">
        <f>MIN(AQ$5,W236+AG237)</f>
        <v>0.0</v>
      </c>
      <c r="AR237" s="31">
        <f>MIN(AR$5,X236+AH237)</f>
        <v>0.0</v>
      </c>
      <c r="AS237" s="31">
        <f>MIN(AS$5,Y236+AI237)</f>
        <v>0.0</v>
      </c>
      <c r="AT237" s="31">
        <f>MIN(AT$5,Z236+AJ237)</f>
        <v>0.0</v>
      </c>
      <c r="AU237" s="31">
        <f>MIN(AU$5,AA236+AK237)</f>
        <v>0.0</v>
      </c>
    </row>
    <row r="238">
      <c r="A238" s="25" t="str">
        <f>IF(F237&gt;0.005,233,"")</f>
        <v/>
      </c>
      <c r="B238" s="33" t="str">
        <f>IF(A238="","",EDATE(Долги!$D$5,232))</f>
        <v/>
      </c>
      <c r="C238" s="31">
        <f>SUM(H238:Q238)</f>
        <v>0.0</v>
      </c>
      <c r="D238" s="31">
        <f>SUM(AB238:AK238)</f>
        <v>0.0</v>
      </c>
      <c r="E238" s="31">
        <f>C238-D238</f>
        <v>0.0</v>
      </c>
      <c r="F238" s="31">
        <f>SUM(R238:AA238)</f>
        <v>0.0</v>
      </c>
      <c r="G238" s="34" t="str">
        <f>IF(OR(A238="",$F$5&lt;=0),"",REPT("█",ROUND(20*F238/$F$5,0)))</f>
        <v/>
      </c>
      <c r="H238" s="31">
        <f>AL238+MIN(R237+AB238-AL238,MAX(0,ROUND(Долги!$D$19-SUM($AL238:$AU238),2)))</f>
        <v>0.0</v>
      </c>
      <c r="I238" s="31">
        <f>AM238+MIN(S237+AC238-AM238,MAX(0,ROUND(ROUND(Долги!$D$19-SUM($AL238:$AU238),2)-(SUM($H238:H238)-SUM($AL238:AL238)),2)))</f>
        <v>0.0</v>
      </c>
      <c r="J238" s="31">
        <f>AN238+MIN(T237+AD238-AN238,MAX(0,ROUND(ROUND(Долги!$D$19-SUM($AL238:$AU238),2)-(SUM($H238:I238)-SUM($AL238:AM238)),2)))</f>
        <v>0.0</v>
      </c>
      <c r="K238" s="31">
        <f>AO238+MIN(U237+AE238-AO238,MAX(0,ROUND(ROUND(Долги!$D$19-SUM($AL238:$AU238),2)-(SUM($H238:J238)-SUM($AL238:AN238)),2)))</f>
        <v>0.0</v>
      </c>
      <c r="L238" s="31">
        <f>AP238+MIN(V237+AF238-AP238,MAX(0,ROUND(ROUND(Долги!$D$19-SUM($AL238:$AU238),2)-(SUM($H238:K238)-SUM($AL238:AO238)),2)))</f>
        <v>0.0</v>
      </c>
      <c r="M238" s="31">
        <f>AQ238+MIN(W237+AG238-AQ238,MAX(0,ROUND(ROUND(Долги!$D$19-SUM($AL238:$AU238),2)-(SUM($H238:L238)-SUM($AL238:AP238)),2)))</f>
        <v>0.0</v>
      </c>
      <c r="N238" s="31">
        <f>AR238+MIN(X237+AH238-AR238,MAX(0,ROUND(ROUND(Долги!$D$19-SUM($AL238:$AU238),2)-(SUM($H238:M238)-SUM($AL238:AQ238)),2)))</f>
        <v>0.0</v>
      </c>
      <c r="O238" s="31">
        <f>AS238+MIN(Y237+AI238-AS238,MAX(0,ROUND(ROUND(Долги!$D$19-SUM($AL238:$AU238),2)-(SUM($H238:N238)-SUM($AL238:AR238)),2)))</f>
        <v>0.0</v>
      </c>
      <c r="P238" s="31">
        <f>AT238+MIN(Z237+AJ238-AT238,MAX(0,ROUND(ROUND(Долги!$D$19-SUM($AL238:$AU238),2)-(SUM($H238:O238)-SUM($AL238:AS238)),2)))</f>
        <v>0.0</v>
      </c>
      <c r="Q238" s="31">
        <f>AU238+MIN(AA237+AK238-AU238,MAX(0,ROUND(ROUND(Долги!$D$19-SUM($AL238:$AU238),2)-(SUM($H238:P238)-SUM($AL238:AT238)),2)))</f>
        <v>0.0</v>
      </c>
      <c r="R238" s="31">
        <f>IF(R237+AB238-H238&lt;=0.01,0,ROUND(R237+AB238-H238,2))</f>
        <v>0.0</v>
      </c>
      <c r="S238" s="31">
        <f>IF(S237+AC238-I238&lt;=0.01,0,ROUND(S237+AC238-I238,2))</f>
        <v>0.0</v>
      </c>
      <c r="T238" s="31">
        <f>IF(T237+AD238-J238&lt;=0.01,0,ROUND(T237+AD238-J238,2))</f>
        <v>0.0</v>
      </c>
      <c r="U238" s="31">
        <f>IF(U237+AE238-K238&lt;=0.01,0,ROUND(U237+AE238-K238,2))</f>
        <v>0.0</v>
      </c>
      <c r="V238" s="31">
        <f>IF(V237+AF238-L238&lt;=0.01,0,ROUND(V237+AF238-L238,2))</f>
        <v>0.0</v>
      </c>
      <c r="W238" s="31">
        <f>IF(W237+AG238-M238&lt;=0.01,0,ROUND(W237+AG238-M238,2))</f>
        <v>0.0</v>
      </c>
      <c r="X238" s="31">
        <f>IF(X237+AH238-N238&lt;=0.01,0,ROUND(X237+AH238-N238,2))</f>
        <v>0.0</v>
      </c>
      <c r="Y238" s="31">
        <f>IF(Y237+AI238-O238&lt;=0.01,0,ROUND(Y237+AI238-O238,2))</f>
        <v>0.0</v>
      </c>
      <c r="Z238" s="31">
        <f>IF(Z237+AJ238-P238&lt;=0.01,0,ROUND(Z237+AJ238-P238,2))</f>
        <v>0.0</v>
      </c>
      <c r="AA238" s="31">
        <f>IF(AA237+AK238-Q238&lt;=0.01,0,ROUND(AA237+AK238-Q238,2))</f>
        <v>0.0</v>
      </c>
      <c r="AB238" s="31">
        <f>ROUND(R237*AB$5/1200,2)</f>
        <v>0.0</v>
      </c>
      <c r="AC238" s="31">
        <f>ROUND(S237*AC$5/1200,2)</f>
        <v>0.0</v>
      </c>
      <c r="AD238" s="31">
        <f>ROUND(T237*AD$5/1200,2)</f>
        <v>0.0</v>
      </c>
      <c r="AE238" s="31">
        <f>ROUND(U237*AE$5/1200,2)</f>
        <v>0.0</v>
      </c>
      <c r="AF238" s="31">
        <f>ROUND(V237*AF$5/1200,2)</f>
        <v>0.0</v>
      </c>
      <c r="AG238" s="31">
        <f>ROUND(W237*AG$5/1200,2)</f>
        <v>0.0</v>
      </c>
      <c r="AH238" s="31">
        <f>ROUND(X237*AH$5/1200,2)</f>
        <v>0.0</v>
      </c>
      <c r="AI238" s="31">
        <f>ROUND(Y237*AI$5/1200,2)</f>
        <v>0.0</v>
      </c>
      <c r="AJ238" s="31">
        <f>ROUND(Z237*AJ$5/1200,2)</f>
        <v>0.0</v>
      </c>
      <c r="AK238" s="31">
        <f>ROUND(AA237*AK$5/1200,2)</f>
        <v>0.0</v>
      </c>
      <c r="AL238" s="31">
        <f>MIN(AL$5,R237+AB238)</f>
        <v>0.0</v>
      </c>
      <c r="AM238" s="31">
        <f>MIN(AM$5,S237+AC238)</f>
        <v>0.0</v>
      </c>
      <c r="AN238" s="31">
        <f>MIN(AN$5,T237+AD238)</f>
        <v>0.0</v>
      </c>
      <c r="AO238" s="31">
        <f>MIN(AO$5,U237+AE238)</f>
        <v>0.0</v>
      </c>
      <c r="AP238" s="31">
        <f>MIN(AP$5,V237+AF238)</f>
        <v>0.0</v>
      </c>
      <c r="AQ238" s="31">
        <f>MIN(AQ$5,W237+AG238)</f>
        <v>0.0</v>
      </c>
      <c r="AR238" s="31">
        <f>MIN(AR$5,X237+AH238)</f>
        <v>0.0</v>
      </c>
      <c r="AS238" s="31">
        <f>MIN(AS$5,Y237+AI238)</f>
        <v>0.0</v>
      </c>
      <c r="AT238" s="31">
        <f>MIN(AT$5,Z237+AJ238)</f>
        <v>0.0</v>
      </c>
      <c r="AU238" s="31">
        <f>MIN(AU$5,AA237+AK238)</f>
        <v>0.0</v>
      </c>
    </row>
    <row r="239">
      <c r="A239" s="25" t="str">
        <f>IF(F238&gt;0.005,234,"")</f>
        <v/>
      </c>
      <c r="B239" s="33" t="str">
        <f>IF(A239="","",EDATE(Долги!$D$5,233))</f>
        <v/>
      </c>
      <c r="C239" s="31">
        <f>SUM(H239:Q239)</f>
        <v>0.0</v>
      </c>
      <c r="D239" s="31">
        <f>SUM(AB239:AK239)</f>
        <v>0.0</v>
      </c>
      <c r="E239" s="31">
        <f>C239-D239</f>
        <v>0.0</v>
      </c>
      <c r="F239" s="31">
        <f>SUM(R239:AA239)</f>
        <v>0.0</v>
      </c>
      <c r="G239" s="34" t="str">
        <f>IF(OR(A239="",$F$5&lt;=0),"",REPT("█",ROUND(20*F239/$F$5,0)))</f>
        <v/>
      </c>
      <c r="H239" s="31">
        <f>AL239+MIN(R238+AB239-AL239,MAX(0,ROUND(Долги!$D$19-SUM($AL239:$AU239),2)))</f>
        <v>0.0</v>
      </c>
      <c r="I239" s="31">
        <f>AM239+MIN(S238+AC239-AM239,MAX(0,ROUND(ROUND(Долги!$D$19-SUM($AL239:$AU239),2)-(SUM($H239:H239)-SUM($AL239:AL239)),2)))</f>
        <v>0.0</v>
      </c>
      <c r="J239" s="31">
        <f>AN239+MIN(T238+AD239-AN239,MAX(0,ROUND(ROUND(Долги!$D$19-SUM($AL239:$AU239),2)-(SUM($H239:I239)-SUM($AL239:AM239)),2)))</f>
        <v>0.0</v>
      </c>
      <c r="K239" s="31">
        <f>AO239+MIN(U238+AE239-AO239,MAX(0,ROUND(ROUND(Долги!$D$19-SUM($AL239:$AU239),2)-(SUM($H239:J239)-SUM($AL239:AN239)),2)))</f>
        <v>0.0</v>
      </c>
      <c r="L239" s="31">
        <f>AP239+MIN(V238+AF239-AP239,MAX(0,ROUND(ROUND(Долги!$D$19-SUM($AL239:$AU239),2)-(SUM($H239:K239)-SUM($AL239:AO239)),2)))</f>
        <v>0.0</v>
      </c>
      <c r="M239" s="31">
        <f>AQ239+MIN(W238+AG239-AQ239,MAX(0,ROUND(ROUND(Долги!$D$19-SUM($AL239:$AU239),2)-(SUM($H239:L239)-SUM($AL239:AP239)),2)))</f>
        <v>0.0</v>
      </c>
      <c r="N239" s="31">
        <f>AR239+MIN(X238+AH239-AR239,MAX(0,ROUND(ROUND(Долги!$D$19-SUM($AL239:$AU239),2)-(SUM($H239:M239)-SUM($AL239:AQ239)),2)))</f>
        <v>0.0</v>
      </c>
      <c r="O239" s="31">
        <f>AS239+MIN(Y238+AI239-AS239,MAX(0,ROUND(ROUND(Долги!$D$19-SUM($AL239:$AU239),2)-(SUM($H239:N239)-SUM($AL239:AR239)),2)))</f>
        <v>0.0</v>
      </c>
      <c r="P239" s="31">
        <f>AT239+MIN(Z238+AJ239-AT239,MAX(0,ROUND(ROUND(Долги!$D$19-SUM($AL239:$AU239),2)-(SUM($H239:O239)-SUM($AL239:AS239)),2)))</f>
        <v>0.0</v>
      </c>
      <c r="Q239" s="31">
        <f>AU239+MIN(AA238+AK239-AU239,MAX(0,ROUND(ROUND(Долги!$D$19-SUM($AL239:$AU239),2)-(SUM($H239:P239)-SUM($AL239:AT239)),2)))</f>
        <v>0.0</v>
      </c>
      <c r="R239" s="31">
        <f>IF(R238+AB239-H239&lt;=0.01,0,ROUND(R238+AB239-H239,2))</f>
        <v>0.0</v>
      </c>
      <c r="S239" s="31">
        <f>IF(S238+AC239-I239&lt;=0.01,0,ROUND(S238+AC239-I239,2))</f>
        <v>0.0</v>
      </c>
      <c r="T239" s="31">
        <f>IF(T238+AD239-J239&lt;=0.01,0,ROUND(T238+AD239-J239,2))</f>
        <v>0.0</v>
      </c>
      <c r="U239" s="31">
        <f>IF(U238+AE239-K239&lt;=0.01,0,ROUND(U238+AE239-K239,2))</f>
        <v>0.0</v>
      </c>
      <c r="V239" s="31">
        <f>IF(V238+AF239-L239&lt;=0.01,0,ROUND(V238+AF239-L239,2))</f>
        <v>0.0</v>
      </c>
      <c r="W239" s="31">
        <f>IF(W238+AG239-M239&lt;=0.01,0,ROUND(W238+AG239-M239,2))</f>
        <v>0.0</v>
      </c>
      <c r="X239" s="31">
        <f>IF(X238+AH239-N239&lt;=0.01,0,ROUND(X238+AH239-N239,2))</f>
        <v>0.0</v>
      </c>
      <c r="Y239" s="31">
        <f>IF(Y238+AI239-O239&lt;=0.01,0,ROUND(Y238+AI239-O239,2))</f>
        <v>0.0</v>
      </c>
      <c r="Z239" s="31">
        <f>IF(Z238+AJ239-P239&lt;=0.01,0,ROUND(Z238+AJ239-P239,2))</f>
        <v>0.0</v>
      </c>
      <c r="AA239" s="31">
        <f>IF(AA238+AK239-Q239&lt;=0.01,0,ROUND(AA238+AK239-Q239,2))</f>
        <v>0.0</v>
      </c>
      <c r="AB239" s="31">
        <f>ROUND(R238*AB$5/1200,2)</f>
        <v>0.0</v>
      </c>
      <c r="AC239" s="31">
        <f>ROUND(S238*AC$5/1200,2)</f>
        <v>0.0</v>
      </c>
      <c r="AD239" s="31">
        <f>ROUND(T238*AD$5/1200,2)</f>
        <v>0.0</v>
      </c>
      <c r="AE239" s="31">
        <f>ROUND(U238*AE$5/1200,2)</f>
        <v>0.0</v>
      </c>
      <c r="AF239" s="31">
        <f>ROUND(V238*AF$5/1200,2)</f>
        <v>0.0</v>
      </c>
      <c r="AG239" s="31">
        <f>ROUND(W238*AG$5/1200,2)</f>
        <v>0.0</v>
      </c>
      <c r="AH239" s="31">
        <f>ROUND(X238*AH$5/1200,2)</f>
        <v>0.0</v>
      </c>
      <c r="AI239" s="31">
        <f>ROUND(Y238*AI$5/1200,2)</f>
        <v>0.0</v>
      </c>
      <c r="AJ239" s="31">
        <f>ROUND(Z238*AJ$5/1200,2)</f>
        <v>0.0</v>
      </c>
      <c r="AK239" s="31">
        <f>ROUND(AA238*AK$5/1200,2)</f>
        <v>0.0</v>
      </c>
      <c r="AL239" s="31">
        <f>MIN(AL$5,R238+AB239)</f>
        <v>0.0</v>
      </c>
      <c r="AM239" s="31">
        <f>MIN(AM$5,S238+AC239)</f>
        <v>0.0</v>
      </c>
      <c r="AN239" s="31">
        <f>MIN(AN$5,T238+AD239)</f>
        <v>0.0</v>
      </c>
      <c r="AO239" s="31">
        <f>MIN(AO$5,U238+AE239)</f>
        <v>0.0</v>
      </c>
      <c r="AP239" s="31">
        <f>MIN(AP$5,V238+AF239)</f>
        <v>0.0</v>
      </c>
      <c r="AQ239" s="31">
        <f>MIN(AQ$5,W238+AG239)</f>
        <v>0.0</v>
      </c>
      <c r="AR239" s="31">
        <f>MIN(AR$5,X238+AH239)</f>
        <v>0.0</v>
      </c>
      <c r="AS239" s="31">
        <f>MIN(AS$5,Y238+AI239)</f>
        <v>0.0</v>
      </c>
      <c r="AT239" s="31">
        <f>MIN(AT$5,Z238+AJ239)</f>
        <v>0.0</v>
      </c>
      <c r="AU239" s="31">
        <f>MIN(AU$5,AA238+AK239)</f>
        <v>0.0</v>
      </c>
    </row>
    <row r="240">
      <c r="A240" s="25" t="str">
        <f>IF(F239&gt;0.005,235,"")</f>
        <v/>
      </c>
      <c r="B240" s="33" t="str">
        <f>IF(A240="","",EDATE(Долги!$D$5,234))</f>
        <v/>
      </c>
      <c r="C240" s="31">
        <f>SUM(H240:Q240)</f>
        <v>0.0</v>
      </c>
      <c r="D240" s="31">
        <f>SUM(AB240:AK240)</f>
        <v>0.0</v>
      </c>
      <c r="E240" s="31">
        <f>C240-D240</f>
        <v>0.0</v>
      </c>
      <c r="F240" s="31">
        <f>SUM(R240:AA240)</f>
        <v>0.0</v>
      </c>
      <c r="G240" s="34" t="str">
        <f>IF(OR(A240="",$F$5&lt;=0),"",REPT("█",ROUND(20*F240/$F$5,0)))</f>
        <v/>
      </c>
      <c r="H240" s="31">
        <f>AL240+MIN(R239+AB240-AL240,MAX(0,ROUND(Долги!$D$19-SUM($AL240:$AU240),2)))</f>
        <v>0.0</v>
      </c>
      <c r="I240" s="31">
        <f>AM240+MIN(S239+AC240-AM240,MAX(0,ROUND(ROUND(Долги!$D$19-SUM($AL240:$AU240),2)-(SUM($H240:H240)-SUM($AL240:AL240)),2)))</f>
        <v>0.0</v>
      </c>
      <c r="J240" s="31">
        <f>AN240+MIN(T239+AD240-AN240,MAX(0,ROUND(ROUND(Долги!$D$19-SUM($AL240:$AU240),2)-(SUM($H240:I240)-SUM($AL240:AM240)),2)))</f>
        <v>0.0</v>
      </c>
      <c r="K240" s="31">
        <f>AO240+MIN(U239+AE240-AO240,MAX(0,ROUND(ROUND(Долги!$D$19-SUM($AL240:$AU240),2)-(SUM($H240:J240)-SUM($AL240:AN240)),2)))</f>
        <v>0.0</v>
      </c>
      <c r="L240" s="31">
        <f>AP240+MIN(V239+AF240-AP240,MAX(0,ROUND(ROUND(Долги!$D$19-SUM($AL240:$AU240),2)-(SUM($H240:K240)-SUM($AL240:AO240)),2)))</f>
        <v>0.0</v>
      </c>
      <c r="M240" s="31">
        <f>AQ240+MIN(W239+AG240-AQ240,MAX(0,ROUND(ROUND(Долги!$D$19-SUM($AL240:$AU240),2)-(SUM($H240:L240)-SUM($AL240:AP240)),2)))</f>
        <v>0.0</v>
      </c>
      <c r="N240" s="31">
        <f>AR240+MIN(X239+AH240-AR240,MAX(0,ROUND(ROUND(Долги!$D$19-SUM($AL240:$AU240),2)-(SUM($H240:M240)-SUM($AL240:AQ240)),2)))</f>
        <v>0.0</v>
      </c>
      <c r="O240" s="31">
        <f>AS240+MIN(Y239+AI240-AS240,MAX(0,ROUND(ROUND(Долги!$D$19-SUM($AL240:$AU240),2)-(SUM($H240:N240)-SUM($AL240:AR240)),2)))</f>
        <v>0.0</v>
      </c>
      <c r="P240" s="31">
        <f>AT240+MIN(Z239+AJ240-AT240,MAX(0,ROUND(ROUND(Долги!$D$19-SUM($AL240:$AU240),2)-(SUM($H240:O240)-SUM($AL240:AS240)),2)))</f>
        <v>0.0</v>
      </c>
      <c r="Q240" s="31">
        <f>AU240+MIN(AA239+AK240-AU240,MAX(0,ROUND(ROUND(Долги!$D$19-SUM($AL240:$AU240),2)-(SUM($H240:P240)-SUM($AL240:AT240)),2)))</f>
        <v>0.0</v>
      </c>
      <c r="R240" s="31">
        <f>IF(R239+AB240-H240&lt;=0.01,0,ROUND(R239+AB240-H240,2))</f>
        <v>0.0</v>
      </c>
      <c r="S240" s="31">
        <f>IF(S239+AC240-I240&lt;=0.01,0,ROUND(S239+AC240-I240,2))</f>
        <v>0.0</v>
      </c>
      <c r="T240" s="31">
        <f>IF(T239+AD240-J240&lt;=0.01,0,ROUND(T239+AD240-J240,2))</f>
        <v>0.0</v>
      </c>
      <c r="U240" s="31">
        <f>IF(U239+AE240-K240&lt;=0.01,0,ROUND(U239+AE240-K240,2))</f>
        <v>0.0</v>
      </c>
      <c r="V240" s="31">
        <f>IF(V239+AF240-L240&lt;=0.01,0,ROUND(V239+AF240-L240,2))</f>
        <v>0.0</v>
      </c>
      <c r="W240" s="31">
        <f>IF(W239+AG240-M240&lt;=0.01,0,ROUND(W239+AG240-M240,2))</f>
        <v>0.0</v>
      </c>
      <c r="X240" s="31">
        <f>IF(X239+AH240-N240&lt;=0.01,0,ROUND(X239+AH240-N240,2))</f>
        <v>0.0</v>
      </c>
      <c r="Y240" s="31">
        <f>IF(Y239+AI240-O240&lt;=0.01,0,ROUND(Y239+AI240-O240,2))</f>
        <v>0.0</v>
      </c>
      <c r="Z240" s="31">
        <f>IF(Z239+AJ240-P240&lt;=0.01,0,ROUND(Z239+AJ240-P240,2))</f>
        <v>0.0</v>
      </c>
      <c r="AA240" s="31">
        <f>IF(AA239+AK240-Q240&lt;=0.01,0,ROUND(AA239+AK240-Q240,2))</f>
        <v>0.0</v>
      </c>
      <c r="AB240" s="31">
        <f>ROUND(R239*AB$5/1200,2)</f>
        <v>0.0</v>
      </c>
      <c r="AC240" s="31">
        <f>ROUND(S239*AC$5/1200,2)</f>
        <v>0.0</v>
      </c>
      <c r="AD240" s="31">
        <f>ROUND(T239*AD$5/1200,2)</f>
        <v>0.0</v>
      </c>
      <c r="AE240" s="31">
        <f>ROUND(U239*AE$5/1200,2)</f>
        <v>0.0</v>
      </c>
      <c r="AF240" s="31">
        <f>ROUND(V239*AF$5/1200,2)</f>
        <v>0.0</v>
      </c>
      <c r="AG240" s="31">
        <f>ROUND(W239*AG$5/1200,2)</f>
        <v>0.0</v>
      </c>
      <c r="AH240" s="31">
        <f>ROUND(X239*AH$5/1200,2)</f>
        <v>0.0</v>
      </c>
      <c r="AI240" s="31">
        <f>ROUND(Y239*AI$5/1200,2)</f>
        <v>0.0</v>
      </c>
      <c r="AJ240" s="31">
        <f>ROUND(Z239*AJ$5/1200,2)</f>
        <v>0.0</v>
      </c>
      <c r="AK240" s="31">
        <f>ROUND(AA239*AK$5/1200,2)</f>
        <v>0.0</v>
      </c>
      <c r="AL240" s="31">
        <f>MIN(AL$5,R239+AB240)</f>
        <v>0.0</v>
      </c>
      <c r="AM240" s="31">
        <f>MIN(AM$5,S239+AC240)</f>
        <v>0.0</v>
      </c>
      <c r="AN240" s="31">
        <f>MIN(AN$5,T239+AD240)</f>
        <v>0.0</v>
      </c>
      <c r="AO240" s="31">
        <f>MIN(AO$5,U239+AE240)</f>
        <v>0.0</v>
      </c>
      <c r="AP240" s="31">
        <f>MIN(AP$5,V239+AF240)</f>
        <v>0.0</v>
      </c>
      <c r="AQ240" s="31">
        <f>MIN(AQ$5,W239+AG240)</f>
        <v>0.0</v>
      </c>
      <c r="AR240" s="31">
        <f>MIN(AR$5,X239+AH240)</f>
        <v>0.0</v>
      </c>
      <c r="AS240" s="31">
        <f>MIN(AS$5,Y239+AI240)</f>
        <v>0.0</v>
      </c>
      <c r="AT240" s="31">
        <f>MIN(AT$5,Z239+AJ240)</f>
        <v>0.0</v>
      </c>
      <c r="AU240" s="31">
        <f>MIN(AU$5,AA239+AK240)</f>
        <v>0.0</v>
      </c>
    </row>
    <row r="241">
      <c r="A241" s="25" t="str">
        <f>IF(F240&gt;0.005,236,"")</f>
        <v/>
      </c>
      <c r="B241" s="33" t="str">
        <f>IF(A241="","",EDATE(Долги!$D$5,235))</f>
        <v/>
      </c>
      <c r="C241" s="31">
        <f>SUM(H241:Q241)</f>
        <v>0.0</v>
      </c>
      <c r="D241" s="31">
        <f>SUM(AB241:AK241)</f>
        <v>0.0</v>
      </c>
      <c r="E241" s="31">
        <f>C241-D241</f>
        <v>0.0</v>
      </c>
      <c r="F241" s="31">
        <f>SUM(R241:AA241)</f>
        <v>0.0</v>
      </c>
      <c r="G241" s="34" t="str">
        <f>IF(OR(A241="",$F$5&lt;=0),"",REPT("█",ROUND(20*F241/$F$5,0)))</f>
        <v/>
      </c>
      <c r="H241" s="31">
        <f>AL241+MIN(R240+AB241-AL241,MAX(0,ROUND(Долги!$D$19-SUM($AL241:$AU241),2)))</f>
        <v>0.0</v>
      </c>
      <c r="I241" s="31">
        <f>AM241+MIN(S240+AC241-AM241,MAX(0,ROUND(ROUND(Долги!$D$19-SUM($AL241:$AU241),2)-(SUM($H241:H241)-SUM($AL241:AL241)),2)))</f>
        <v>0.0</v>
      </c>
      <c r="J241" s="31">
        <f>AN241+MIN(T240+AD241-AN241,MAX(0,ROUND(ROUND(Долги!$D$19-SUM($AL241:$AU241),2)-(SUM($H241:I241)-SUM($AL241:AM241)),2)))</f>
        <v>0.0</v>
      </c>
      <c r="K241" s="31">
        <f>AO241+MIN(U240+AE241-AO241,MAX(0,ROUND(ROUND(Долги!$D$19-SUM($AL241:$AU241),2)-(SUM($H241:J241)-SUM($AL241:AN241)),2)))</f>
        <v>0.0</v>
      </c>
      <c r="L241" s="31">
        <f>AP241+MIN(V240+AF241-AP241,MAX(0,ROUND(ROUND(Долги!$D$19-SUM($AL241:$AU241),2)-(SUM($H241:K241)-SUM($AL241:AO241)),2)))</f>
        <v>0.0</v>
      </c>
      <c r="M241" s="31">
        <f>AQ241+MIN(W240+AG241-AQ241,MAX(0,ROUND(ROUND(Долги!$D$19-SUM($AL241:$AU241),2)-(SUM($H241:L241)-SUM($AL241:AP241)),2)))</f>
        <v>0.0</v>
      </c>
      <c r="N241" s="31">
        <f>AR241+MIN(X240+AH241-AR241,MAX(0,ROUND(ROUND(Долги!$D$19-SUM($AL241:$AU241),2)-(SUM($H241:M241)-SUM($AL241:AQ241)),2)))</f>
        <v>0.0</v>
      </c>
      <c r="O241" s="31">
        <f>AS241+MIN(Y240+AI241-AS241,MAX(0,ROUND(ROUND(Долги!$D$19-SUM($AL241:$AU241),2)-(SUM($H241:N241)-SUM($AL241:AR241)),2)))</f>
        <v>0.0</v>
      </c>
      <c r="P241" s="31">
        <f>AT241+MIN(Z240+AJ241-AT241,MAX(0,ROUND(ROUND(Долги!$D$19-SUM($AL241:$AU241),2)-(SUM($H241:O241)-SUM($AL241:AS241)),2)))</f>
        <v>0.0</v>
      </c>
      <c r="Q241" s="31">
        <f>AU241+MIN(AA240+AK241-AU241,MAX(0,ROUND(ROUND(Долги!$D$19-SUM($AL241:$AU241),2)-(SUM($H241:P241)-SUM($AL241:AT241)),2)))</f>
        <v>0.0</v>
      </c>
      <c r="R241" s="31">
        <f>IF(R240+AB241-H241&lt;=0.01,0,ROUND(R240+AB241-H241,2))</f>
        <v>0.0</v>
      </c>
      <c r="S241" s="31">
        <f>IF(S240+AC241-I241&lt;=0.01,0,ROUND(S240+AC241-I241,2))</f>
        <v>0.0</v>
      </c>
      <c r="T241" s="31">
        <f>IF(T240+AD241-J241&lt;=0.01,0,ROUND(T240+AD241-J241,2))</f>
        <v>0.0</v>
      </c>
      <c r="U241" s="31">
        <f>IF(U240+AE241-K241&lt;=0.01,0,ROUND(U240+AE241-K241,2))</f>
        <v>0.0</v>
      </c>
      <c r="V241" s="31">
        <f>IF(V240+AF241-L241&lt;=0.01,0,ROUND(V240+AF241-L241,2))</f>
        <v>0.0</v>
      </c>
      <c r="W241" s="31">
        <f>IF(W240+AG241-M241&lt;=0.01,0,ROUND(W240+AG241-M241,2))</f>
        <v>0.0</v>
      </c>
      <c r="X241" s="31">
        <f>IF(X240+AH241-N241&lt;=0.01,0,ROUND(X240+AH241-N241,2))</f>
        <v>0.0</v>
      </c>
      <c r="Y241" s="31">
        <f>IF(Y240+AI241-O241&lt;=0.01,0,ROUND(Y240+AI241-O241,2))</f>
        <v>0.0</v>
      </c>
      <c r="Z241" s="31">
        <f>IF(Z240+AJ241-P241&lt;=0.01,0,ROUND(Z240+AJ241-P241,2))</f>
        <v>0.0</v>
      </c>
      <c r="AA241" s="31">
        <f>IF(AA240+AK241-Q241&lt;=0.01,0,ROUND(AA240+AK241-Q241,2))</f>
        <v>0.0</v>
      </c>
      <c r="AB241" s="31">
        <f>ROUND(R240*AB$5/1200,2)</f>
        <v>0.0</v>
      </c>
      <c r="AC241" s="31">
        <f>ROUND(S240*AC$5/1200,2)</f>
        <v>0.0</v>
      </c>
      <c r="AD241" s="31">
        <f>ROUND(T240*AD$5/1200,2)</f>
        <v>0.0</v>
      </c>
      <c r="AE241" s="31">
        <f>ROUND(U240*AE$5/1200,2)</f>
        <v>0.0</v>
      </c>
      <c r="AF241" s="31">
        <f>ROUND(V240*AF$5/1200,2)</f>
        <v>0.0</v>
      </c>
      <c r="AG241" s="31">
        <f>ROUND(W240*AG$5/1200,2)</f>
        <v>0.0</v>
      </c>
      <c r="AH241" s="31">
        <f>ROUND(X240*AH$5/1200,2)</f>
        <v>0.0</v>
      </c>
      <c r="AI241" s="31">
        <f>ROUND(Y240*AI$5/1200,2)</f>
        <v>0.0</v>
      </c>
      <c r="AJ241" s="31">
        <f>ROUND(Z240*AJ$5/1200,2)</f>
        <v>0.0</v>
      </c>
      <c r="AK241" s="31">
        <f>ROUND(AA240*AK$5/1200,2)</f>
        <v>0.0</v>
      </c>
      <c r="AL241" s="31">
        <f>MIN(AL$5,R240+AB241)</f>
        <v>0.0</v>
      </c>
      <c r="AM241" s="31">
        <f>MIN(AM$5,S240+AC241)</f>
        <v>0.0</v>
      </c>
      <c r="AN241" s="31">
        <f>MIN(AN$5,T240+AD241)</f>
        <v>0.0</v>
      </c>
      <c r="AO241" s="31">
        <f>MIN(AO$5,U240+AE241)</f>
        <v>0.0</v>
      </c>
      <c r="AP241" s="31">
        <f>MIN(AP$5,V240+AF241)</f>
        <v>0.0</v>
      </c>
      <c r="AQ241" s="31">
        <f>MIN(AQ$5,W240+AG241)</f>
        <v>0.0</v>
      </c>
      <c r="AR241" s="31">
        <f>MIN(AR$5,X240+AH241)</f>
        <v>0.0</v>
      </c>
      <c r="AS241" s="31">
        <f>MIN(AS$5,Y240+AI241)</f>
        <v>0.0</v>
      </c>
      <c r="AT241" s="31">
        <f>MIN(AT$5,Z240+AJ241)</f>
        <v>0.0</v>
      </c>
      <c r="AU241" s="31">
        <f>MIN(AU$5,AA240+AK241)</f>
        <v>0.0</v>
      </c>
    </row>
    <row r="242">
      <c r="A242" s="25" t="str">
        <f>IF(F241&gt;0.005,237,"")</f>
        <v/>
      </c>
      <c r="B242" s="33" t="str">
        <f>IF(A242="","",EDATE(Долги!$D$5,236))</f>
        <v/>
      </c>
      <c r="C242" s="31">
        <f>SUM(H242:Q242)</f>
        <v>0.0</v>
      </c>
      <c r="D242" s="31">
        <f>SUM(AB242:AK242)</f>
        <v>0.0</v>
      </c>
      <c r="E242" s="31">
        <f>C242-D242</f>
        <v>0.0</v>
      </c>
      <c r="F242" s="31">
        <f>SUM(R242:AA242)</f>
        <v>0.0</v>
      </c>
      <c r="G242" s="34" t="str">
        <f>IF(OR(A242="",$F$5&lt;=0),"",REPT("█",ROUND(20*F242/$F$5,0)))</f>
        <v/>
      </c>
      <c r="H242" s="31">
        <f>AL242+MIN(R241+AB242-AL242,MAX(0,ROUND(Долги!$D$19-SUM($AL242:$AU242),2)))</f>
        <v>0.0</v>
      </c>
      <c r="I242" s="31">
        <f>AM242+MIN(S241+AC242-AM242,MAX(0,ROUND(ROUND(Долги!$D$19-SUM($AL242:$AU242),2)-(SUM($H242:H242)-SUM($AL242:AL242)),2)))</f>
        <v>0.0</v>
      </c>
      <c r="J242" s="31">
        <f>AN242+MIN(T241+AD242-AN242,MAX(0,ROUND(ROUND(Долги!$D$19-SUM($AL242:$AU242),2)-(SUM($H242:I242)-SUM($AL242:AM242)),2)))</f>
        <v>0.0</v>
      </c>
      <c r="K242" s="31">
        <f>AO242+MIN(U241+AE242-AO242,MAX(0,ROUND(ROUND(Долги!$D$19-SUM($AL242:$AU242),2)-(SUM($H242:J242)-SUM($AL242:AN242)),2)))</f>
        <v>0.0</v>
      </c>
      <c r="L242" s="31">
        <f>AP242+MIN(V241+AF242-AP242,MAX(0,ROUND(ROUND(Долги!$D$19-SUM($AL242:$AU242),2)-(SUM($H242:K242)-SUM($AL242:AO242)),2)))</f>
        <v>0.0</v>
      </c>
      <c r="M242" s="31">
        <f>AQ242+MIN(W241+AG242-AQ242,MAX(0,ROUND(ROUND(Долги!$D$19-SUM($AL242:$AU242),2)-(SUM($H242:L242)-SUM($AL242:AP242)),2)))</f>
        <v>0.0</v>
      </c>
      <c r="N242" s="31">
        <f>AR242+MIN(X241+AH242-AR242,MAX(0,ROUND(ROUND(Долги!$D$19-SUM($AL242:$AU242),2)-(SUM($H242:M242)-SUM($AL242:AQ242)),2)))</f>
        <v>0.0</v>
      </c>
      <c r="O242" s="31">
        <f>AS242+MIN(Y241+AI242-AS242,MAX(0,ROUND(ROUND(Долги!$D$19-SUM($AL242:$AU242),2)-(SUM($H242:N242)-SUM($AL242:AR242)),2)))</f>
        <v>0.0</v>
      </c>
      <c r="P242" s="31">
        <f>AT242+MIN(Z241+AJ242-AT242,MAX(0,ROUND(ROUND(Долги!$D$19-SUM($AL242:$AU242),2)-(SUM($H242:O242)-SUM($AL242:AS242)),2)))</f>
        <v>0.0</v>
      </c>
      <c r="Q242" s="31">
        <f>AU242+MIN(AA241+AK242-AU242,MAX(0,ROUND(ROUND(Долги!$D$19-SUM($AL242:$AU242),2)-(SUM($H242:P242)-SUM($AL242:AT242)),2)))</f>
        <v>0.0</v>
      </c>
      <c r="R242" s="31">
        <f>IF(R241+AB242-H242&lt;=0.01,0,ROUND(R241+AB242-H242,2))</f>
        <v>0.0</v>
      </c>
      <c r="S242" s="31">
        <f>IF(S241+AC242-I242&lt;=0.01,0,ROUND(S241+AC242-I242,2))</f>
        <v>0.0</v>
      </c>
      <c r="T242" s="31">
        <f>IF(T241+AD242-J242&lt;=0.01,0,ROUND(T241+AD242-J242,2))</f>
        <v>0.0</v>
      </c>
      <c r="U242" s="31">
        <f>IF(U241+AE242-K242&lt;=0.01,0,ROUND(U241+AE242-K242,2))</f>
        <v>0.0</v>
      </c>
      <c r="V242" s="31">
        <f>IF(V241+AF242-L242&lt;=0.01,0,ROUND(V241+AF242-L242,2))</f>
        <v>0.0</v>
      </c>
      <c r="W242" s="31">
        <f>IF(W241+AG242-M242&lt;=0.01,0,ROUND(W241+AG242-M242,2))</f>
        <v>0.0</v>
      </c>
      <c r="X242" s="31">
        <f>IF(X241+AH242-N242&lt;=0.01,0,ROUND(X241+AH242-N242,2))</f>
        <v>0.0</v>
      </c>
      <c r="Y242" s="31">
        <f>IF(Y241+AI242-O242&lt;=0.01,0,ROUND(Y241+AI242-O242,2))</f>
        <v>0.0</v>
      </c>
      <c r="Z242" s="31">
        <f>IF(Z241+AJ242-P242&lt;=0.01,0,ROUND(Z241+AJ242-P242,2))</f>
        <v>0.0</v>
      </c>
      <c r="AA242" s="31">
        <f>IF(AA241+AK242-Q242&lt;=0.01,0,ROUND(AA241+AK242-Q242,2))</f>
        <v>0.0</v>
      </c>
      <c r="AB242" s="31">
        <f>ROUND(R241*AB$5/1200,2)</f>
        <v>0.0</v>
      </c>
      <c r="AC242" s="31">
        <f>ROUND(S241*AC$5/1200,2)</f>
        <v>0.0</v>
      </c>
      <c r="AD242" s="31">
        <f>ROUND(T241*AD$5/1200,2)</f>
        <v>0.0</v>
      </c>
      <c r="AE242" s="31">
        <f>ROUND(U241*AE$5/1200,2)</f>
        <v>0.0</v>
      </c>
      <c r="AF242" s="31">
        <f>ROUND(V241*AF$5/1200,2)</f>
        <v>0.0</v>
      </c>
      <c r="AG242" s="31">
        <f>ROUND(W241*AG$5/1200,2)</f>
        <v>0.0</v>
      </c>
      <c r="AH242" s="31">
        <f>ROUND(X241*AH$5/1200,2)</f>
        <v>0.0</v>
      </c>
      <c r="AI242" s="31">
        <f>ROUND(Y241*AI$5/1200,2)</f>
        <v>0.0</v>
      </c>
      <c r="AJ242" s="31">
        <f>ROUND(Z241*AJ$5/1200,2)</f>
        <v>0.0</v>
      </c>
      <c r="AK242" s="31">
        <f>ROUND(AA241*AK$5/1200,2)</f>
        <v>0.0</v>
      </c>
      <c r="AL242" s="31">
        <f>MIN(AL$5,R241+AB242)</f>
        <v>0.0</v>
      </c>
      <c r="AM242" s="31">
        <f>MIN(AM$5,S241+AC242)</f>
        <v>0.0</v>
      </c>
      <c r="AN242" s="31">
        <f>MIN(AN$5,T241+AD242)</f>
        <v>0.0</v>
      </c>
      <c r="AO242" s="31">
        <f>MIN(AO$5,U241+AE242)</f>
        <v>0.0</v>
      </c>
      <c r="AP242" s="31">
        <f>MIN(AP$5,V241+AF242)</f>
        <v>0.0</v>
      </c>
      <c r="AQ242" s="31">
        <f>MIN(AQ$5,W241+AG242)</f>
        <v>0.0</v>
      </c>
      <c r="AR242" s="31">
        <f>MIN(AR$5,X241+AH242)</f>
        <v>0.0</v>
      </c>
      <c r="AS242" s="31">
        <f>MIN(AS$5,Y241+AI242)</f>
        <v>0.0</v>
      </c>
      <c r="AT242" s="31">
        <f>MIN(AT$5,Z241+AJ242)</f>
        <v>0.0</v>
      </c>
      <c r="AU242" s="31">
        <f>MIN(AU$5,AA241+AK242)</f>
        <v>0.0</v>
      </c>
    </row>
    <row r="243">
      <c r="A243" s="25" t="str">
        <f>IF(F242&gt;0.005,238,"")</f>
        <v/>
      </c>
      <c r="B243" s="33" t="str">
        <f>IF(A243="","",EDATE(Долги!$D$5,237))</f>
        <v/>
      </c>
      <c r="C243" s="31">
        <f>SUM(H243:Q243)</f>
        <v>0.0</v>
      </c>
      <c r="D243" s="31">
        <f>SUM(AB243:AK243)</f>
        <v>0.0</v>
      </c>
      <c r="E243" s="31">
        <f>C243-D243</f>
        <v>0.0</v>
      </c>
      <c r="F243" s="31">
        <f>SUM(R243:AA243)</f>
        <v>0.0</v>
      </c>
      <c r="G243" s="34" t="str">
        <f>IF(OR(A243="",$F$5&lt;=0),"",REPT("█",ROUND(20*F243/$F$5,0)))</f>
        <v/>
      </c>
      <c r="H243" s="31">
        <f>AL243+MIN(R242+AB243-AL243,MAX(0,ROUND(Долги!$D$19-SUM($AL243:$AU243),2)))</f>
        <v>0.0</v>
      </c>
      <c r="I243" s="31">
        <f>AM243+MIN(S242+AC243-AM243,MAX(0,ROUND(ROUND(Долги!$D$19-SUM($AL243:$AU243),2)-(SUM($H243:H243)-SUM($AL243:AL243)),2)))</f>
        <v>0.0</v>
      </c>
      <c r="J243" s="31">
        <f>AN243+MIN(T242+AD243-AN243,MAX(0,ROUND(ROUND(Долги!$D$19-SUM($AL243:$AU243),2)-(SUM($H243:I243)-SUM($AL243:AM243)),2)))</f>
        <v>0.0</v>
      </c>
      <c r="K243" s="31">
        <f>AO243+MIN(U242+AE243-AO243,MAX(0,ROUND(ROUND(Долги!$D$19-SUM($AL243:$AU243),2)-(SUM($H243:J243)-SUM($AL243:AN243)),2)))</f>
        <v>0.0</v>
      </c>
      <c r="L243" s="31">
        <f>AP243+MIN(V242+AF243-AP243,MAX(0,ROUND(ROUND(Долги!$D$19-SUM($AL243:$AU243),2)-(SUM($H243:K243)-SUM($AL243:AO243)),2)))</f>
        <v>0.0</v>
      </c>
      <c r="M243" s="31">
        <f>AQ243+MIN(W242+AG243-AQ243,MAX(0,ROUND(ROUND(Долги!$D$19-SUM($AL243:$AU243),2)-(SUM($H243:L243)-SUM($AL243:AP243)),2)))</f>
        <v>0.0</v>
      </c>
      <c r="N243" s="31">
        <f>AR243+MIN(X242+AH243-AR243,MAX(0,ROUND(ROUND(Долги!$D$19-SUM($AL243:$AU243),2)-(SUM($H243:M243)-SUM($AL243:AQ243)),2)))</f>
        <v>0.0</v>
      </c>
      <c r="O243" s="31">
        <f>AS243+MIN(Y242+AI243-AS243,MAX(0,ROUND(ROUND(Долги!$D$19-SUM($AL243:$AU243),2)-(SUM($H243:N243)-SUM($AL243:AR243)),2)))</f>
        <v>0.0</v>
      </c>
      <c r="P243" s="31">
        <f>AT243+MIN(Z242+AJ243-AT243,MAX(0,ROUND(ROUND(Долги!$D$19-SUM($AL243:$AU243),2)-(SUM($H243:O243)-SUM($AL243:AS243)),2)))</f>
        <v>0.0</v>
      </c>
      <c r="Q243" s="31">
        <f>AU243+MIN(AA242+AK243-AU243,MAX(0,ROUND(ROUND(Долги!$D$19-SUM($AL243:$AU243),2)-(SUM($H243:P243)-SUM($AL243:AT243)),2)))</f>
        <v>0.0</v>
      </c>
      <c r="R243" s="31">
        <f>IF(R242+AB243-H243&lt;=0.01,0,ROUND(R242+AB243-H243,2))</f>
        <v>0.0</v>
      </c>
      <c r="S243" s="31">
        <f>IF(S242+AC243-I243&lt;=0.01,0,ROUND(S242+AC243-I243,2))</f>
        <v>0.0</v>
      </c>
      <c r="T243" s="31">
        <f>IF(T242+AD243-J243&lt;=0.01,0,ROUND(T242+AD243-J243,2))</f>
        <v>0.0</v>
      </c>
      <c r="U243" s="31">
        <f>IF(U242+AE243-K243&lt;=0.01,0,ROUND(U242+AE243-K243,2))</f>
        <v>0.0</v>
      </c>
      <c r="V243" s="31">
        <f>IF(V242+AF243-L243&lt;=0.01,0,ROUND(V242+AF243-L243,2))</f>
        <v>0.0</v>
      </c>
      <c r="W243" s="31">
        <f>IF(W242+AG243-M243&lt;=0.01,0,ROUND(W242+AG243-M243,2))</f>
        <v>0.0</v>
      </c>
      <c r="X243" s="31">
        <f>IF(X242+AH243-N243&lt;=0.01,0,ROUND(X242+AH243-N243,2))</f>
        <v>0.0</v>
      </c>
      <c r="Y243" s="31">
        <f>IF(Y242+AI243-O243&lt;=0.01,0,ROUND(Y242+AI243-O243,2))</f>
        <v>0.0</v>
      </c>
      <c r="Z243" s="31">
        <f>IF(Z242+AJ243-P243&lt;=0.01,0,ROUND(Z242+AJ243-P243,2))</f>
        <v>0.0</v>
      </c>
      <c r="AA243" s="31">
        <f>IF(AA242+AK243-Q243&lt;=0.01,0,ROUND(AA242+AK243-Q243,2))</f>
        <v>0.0</v>
      </c>
      <c r="AB243" s="31">
        <f>ROUND(R242*AB$5/1200,2)</f>
        <v>0.0</v>
      </c>
      <c r="AC243" s="31">
        <f>ROUND(S242*AC$5/1200,2)</f>
        <v>0.0</v>
      </c>
      <c r="AD243" s="31">
        <f>ROUND(T242*AD$5/1200,2)</f>
        <v>0.0</v>
      </c>
      <c r="AE243" s="31">
        <f>ROUND(U242*AE$5/1200,2)</f>
        <v>0.0</v>
      </c>
      <c r="AF243" s="31">
        <f>ROUND(V242*AF$5/1200,2)</f>
        <v>0.0</v>
      </c>
      <c r="AG243" s="31">
        <f>ROUND(W242*AG$5/1200,2)</f>
        <v>0.0</v>
      </c>
      <c r="AH243" s="31">
        <f>ROUND(X242*AH$5/1200,2)</f>
        <v>0.0</v>
      </c>
      <c r="AI243" s="31">
        <f>ROUND(Y242*AI$5/1200,2)</f>
        <v>0.0</v>
      </c>
      <c r="AJ243" s="31">
        <f>ROUND(Z242*AJ$5/1200,2)</f>
        <v>0.0</v>
      </c>
      <c r="AK243" s="31">
        <f>ROUND(AA242*AK$5/1200,2)</f>
        <v>0.0</v>
      </c>
      <c r="AL243" s="31">
        <f>MIN(AL$5,R242+AB243)</f>
        <v>0.0</v>
      </c>
      <c r="AM243" s="31">
        <f>MIN(AM$5,S242+AC243)</f>
        <v>0.0</v>
      </c>
      <c r="AN243" s="31">
        <f>MIN(AN$5,T242+AD243)</f>
        <v>0.0</v>
      </c>
      <c r="AO243" s="31">
        <f>MIN(AO$5,U242+AE243)</f>
        <v>0.0</v>
      </c>
      <c r="AP243" s="31">
        <f>MIN(AP$5,V242+AF243)</f>
        <v>0.0</v>
      </c>
      <c r="AQ243" s="31">
        <f>MIN(AQ$5,W242+AG243)</f>
        <v>0.0</v>
      </c>
      <c r="AR243" s="31">
        <f>MIN(AR$5,X242+AH243)</f>
        <v>0.0</v>
      </c>
      <c r="AS243" s="31">
        <f>MIN(AS$5,Y242+AI243)</f>
        <v>0.0</v>
      </c>
      <c r="AT243" s="31">
        <f>MIN(AT$5,Z242+AJ243)</f>
        <v>0.0</v>
      </c>
      <c r="AU243" s="31">
        <f>MIN(AU$5,AA242+AK243)</f>
        <v>0.0</v>
      </c>
    </row>
    <row r="244">
      <c r="A244" s="25" t="str">
        <f>IF(F243&gt;0.005,239,"")</f>
        <v/>
      </c>
      <c r="B244" s="33" t="str">
        <f>IF(A244="","",EDATE(Долги!$D$5,238))</f>
        <v/>
      </c>
      <c r="C244" s="31">
        <f>SUM(H244:Q244)</f>
        <v>0.0</v>
      </c>
      <c r="D244" s="31">
        <f>SUM(AB244:AK244)</f>
        <v>0.0</v>
      </c>
      <c r="E244" s="31">
        <f>C244-D244</f>
        <v>0.0</v>
      </c>
      <c r="F244" s="31">
        <f>SUM(R244:AA244)</f>
        <v>0.0</v>
      </c>
      <c r="G244" s="34" t="str">
        <f>IF(OR(A244="",$F$5&lt;=0),"",REPT("█",ROUND(20*F244/$F$5,0)))</f>
        <v/>
      </c>
      <c r="H244" s="31">
        <f>AL244+MIN(R243+AB244-AL244,MAX(0,ROUND(Долги!$D$19-SUM($AL244:$AU244),2)))</f>
        <v>0.0</v>
      </c>
      <c r="I244" s="31">
        <f>AM244+MIN(S243+AC244-AM244,MAX(0,ROUND(ROUND(Долги!$D$19-SUM($AL244:$AU244),2)-(SUM($H244:H244)-SUM($AL244:AL244)),2)))</f>
        <v>0.0</v>
      </c>
      <c r="J244" s="31">
        <f>AN244+MIN(T243+AD244-AN244,MAX(0,ROUND(ROUND(Долги!$D$19-SUM($AL244:$AU244),2)-(SUM($H244:I244)-SUM($AL244:AM244)),2)))</f>
        <v>0.0</v>
      </c>
      <c r="K244" s="31">
        <f>AO244+MIN(U243+AE244-AO244,MAX(0,ROUND(ROUND(Долги!$D$19-SUM($AL244:$AU244),2)-(SUM($H244:J244)-SUM($AL244:AN244)),2)))</f>
        <v>0.0</v>
      </c>
      <c r="L244" s="31">
        <f>AP244+MIN(V243+AF244-AP244,MAX(0,ROUND(ROUND(Долги!$D$19-SUM($AL244:$AU244),2)-(SUM($H244:K244)-SUM($AL244:AO244)),2)))</f>
        <v>0.0</v>
      </c>
      <c r="M244" s="31">
        <f>AQ244+MIN(W243+AG244-AQ244,MAX(0,ROUND(ROUND(Долги!$D$19-SUM($AL244:$AU244),2)-(SUM($H244:L244)-SUM($AL244:AP244)),2)))</f>
        <v>0.0</v>
      </c>
      <c r="N244" s="31">
        <f>AR244+MIN(X243+AH244-AR244,MAX(0,ROUND(ROUND(Долги!$D$19-SUM($AL244:$AU244),2)-(SUM($H244:M244)-SUM($AL244:AQ244)),2)))</f>
        <v>0.0</v>
      </c>
      <c r="O244" s="31">
        <f>AS244+MIN(Y243+AI244-AS244,MAX(0,ROUND(ROUND(Долги!$D$19-SUM($AL244:$AU244),2)-(SUM($H244:N244)-SUM($AL244:AR244)),2)))</f>
        <v>0.0</v>
      </c>
      <c r="P244" s="31">
        <f>AT244+MIN(Z243+AJ244-AT244,MAX(0,ROUND(ROUND(Долги!$D$19-SUM($AL244:$AU244),2)-(SUM($H244:O244)-SUM($AL244:AS244)),2)))</f>
        <v>0.0</v>
      </c>
      <c r="Q244" s="31">
        <f>AU244+MIN(AA243+AK244-AU244,MAX(0,ROUND(ROUND(Долги!$D$19-SUM($AL244:$AU244),2)-(SUM($H244:P244)-SUM($AL244:AT244)),2)))</f>
        <v>0.0</v>
      </c>
      <c r="R244" s="31">
        <f>IF(R243+AB244-H244&lt;=0.01,0,ROUND(R243+AB244-H244,2))</f>
        <v>0.0</v>
      </c>
      <c r="S244" s="31">
        <f>IF(S243+AC244-I244&lt;=0.01,0,ROUND(S243+AC244-I244,2))</f>
        <v>0.0</v>
      </c>
      <c r="T244" s="31">
        <f>IF(T243+AD244-J244&lt;=0.01,0,ROUND(T243+AD244-J244,2))</f>
        <v>0.0</v>
      </c>
      <c r="U244" s="31">
        <f>IF(U243+AE244-K244&lt;=0.01,0,ROUND(U243+AE244-K244,2))</f>
        <v>0.0</v>
      </c>
      <c r="V244" s="31">
        <f>IF(V243+AF244-L244&lt;=0.01,0,ROUND(V243+AF244-L244,2))</f>
        <v>0.0</v>
      </c>
      <c r="W244" s="31">
        <f>IF(W243+AG244-M244&lt;=0.01,0,ROUND(W243+AG244-M244,2))</f>
        <v>0.0</v>
      </c>
      <c r="X244" s="31">
        <f>IF(X243+AH244-N244&lt;=0.01,0,ROUND(X243+AH244-N244,2))</f>
        <v>0.0</v>
      </c>
      <c r="Y244" s="31">
        <f>IF(Y243+AI244-O244&lt;=0.01,0,ROUND(Y243+AI244-O244,2))</f>
        <v>0.0</v>
      </c>
      <c r="Z244" s="31">
        <f>IF(Z243+AJ244-P244&lt;=0.01,0,ROUND(Z243+AJ244-P244,2))</f>
        <v>0.0</v>
      </c>
      <c r="AA244" s="31">
        <f>IF(AA243+AK244-Q244&lt;=0.01,0,ROUND(AA243+AK244-Q244,2))</f>
        <v>0.0</v>
      </c>
      <c r="AB244" s="31">
        <f>ROUND(R243*AB$5/1200,2)</f>
        <v>0.0</v>
      </c>
      <c r="AC244" s="31">
        <f>ROUND(S243*AC$5/1200,2)</f>
        <v>0.0</v>
      </c>
      <c r="AD244" s="31">
        <f>ROUND(T243*AD$5/1200,2)</f>
        <v>0.0</v>
      </c>
      <c r="AE244" s="31">
        <f>ROUND(U243*AE$5/1200,2)</f>
        <v>0.0</v>
      </c>
      <c r="AF244" s="31">
        <f>ROUND(V243*AF$5/1200,2)</f>
        <v>0.0</v>
      </c>
      <c r="AG244" s="31">
        <f>ROUND(W243*AG$5/1200,2)</f>
        <v>0.0</v>
      </c>
      <c r="AH244" s="31">
        <f>ROUND(X243*AH$5/1200,2)</f>
        <v>0.0</v>
      </c>
      <c r="AI244" s="31">
        <f>ROUND(Y243*AI$5/1200,2)</f>
        <v>0.0</v>
      </c>
      <c r="AJ244" s="31">
        <f>ROUND(Z243*AJ$5/1200,2)</f>
        <v>0.0</v>
      </c>
      <c r="AK244" s="31">
        <f>ROUND(AA243*AK$5/1200,2)</f>
        <v>0.0</v>
      </c>
      <c r="AL244" s="31">
        <f>MIN(AL$5,R243+AB244)</f>
        <v>0.0</v>
      </c>
      <c r="AM244" s="31">
        <f>MIN(AM$5,S243+AC244)</f>
        <v>0.0</v>
      </c>
      <c r="AN244" s="31">
        <f>MIN(AN$5,T243+AD244)</f>
        <v>0.0</v>
      </c>
      <c r="AO244" s="31">
        <f>MIN(AO$5,U243+AE244)</f>
        <v>0.0</v>
      </c>
      <c r="AP244" s="31">
        <f>MIN(AP$5,V243+AF244)</f>
        <v>0.0</v>
      </c>
      <c r="AQ244" s="31">
        <f>MIN(AQ$5,W243+AG244)</f>
        <v>0.0</v>
      </c>
      <c r="AR244" s="31">
        <f>MIN(AR$5,X243+AH244)</f>
        <v>0.0</v>
      </c>
      <c r="AS244" s="31">
        <f>MIN(AS$5,Y243+AI244)</f>
        <v>0.0</v>
      </c>
      <c r="AT244" s="31">
        <f>MIN(AT$5,Z243+AJ244)</f>
        <v>0.0</v>
      </c>
      <c r="AU244" s="31">
        <f>MIN(AU$5,AA243+AK244)</f>
        <v>0.0</v>
      </c>
    </row>
    <row r="245">
      <c r="A245" s="25" t="str">
        <f>IF(F244&gt;0.005,240,"")</f>
        <v/>
      </c>
      <c r="B245" s="33" t="str">
        <f>IF(A245="","",EDATE(Долги!$D$5,239))</f>
        <v/>
      </c>
      <c r="C245" s="31">
        <f>SUM(H245:Q245)</f>
        <v>0.0</v>
      </c>
      <c r="D245" s="31">
        <f>SUM(AB245:AK245)</f>
        <v>0.0</v>
      </c>
      <c r="E245" s="31">
        <f>C245-D245</f>
        <v>0.0</v>
      </c>
      <c r="F245" s="31">
        <f>SUM(R245:AA245)</f>
        <v>0.0</v>
      </c>
      <c r="G245" s="34" t="str">
        <f>IF(OR(A245="",$F$5&lt;=0),"",REPT("█",ROUND(20*F245/$F$5,0)))</f>
        <v/>
      </c>
      <c r="H245" s="31">
        <f>AL245+MIN(R244+AB245-AL245,MAX(0,ROUND(Долги!$D$19-SUM($AL245:$AU245),2)))</f>
        <v>0.0</v>
      </c>
      <c r="I245" s="31">
        <f>AM245+MIN(S244+AC245-AM245,MAX(0,ROUND(ROUND(Долги!$D$19-SUM($AL245:$AU245),2)-(SUM($H245:H245)-SUM($AL245:AL245)),2)))</f>
        <v>0.0</v>
      </c>
      <c r="J245" s="31">
        <f>AN245+MIN(T244+AD245-AN245,MAX(0,ROUND(ROUND(Долги!$D$19-SUM($AL245:$AU245),2)-(SUM($H245:I245)-SUM($AL245:AM245)),2)))</f>
        <v>0.0</v>
      </c>
      <c r="K245" s="31">
        <f>AO245+MIN(U244+AE245-AO245,MAX(0,ROUND(ROUND(Долги!$D$19-SUM($AL245:$AU245),2)-(SUM($H245:J245)-SUM($AL245:AN245)),2)))</f>
        <v>0.0</v>
      </c>
      <c r="L245" s="31">
        <f>AP245+MIN(V244+AF245-AP245,MAX(0,ROUND(ROUND(Долги!$D$19-SUM($AL245:$AU245),2)-(SUM($H245:K245)-SUM($AL245:AO245)),2)))</f>
        <v>0.0</v>
      </c>
      <c r="M245" s="31">
        <f>AQ245+MIN(W244+AG245-AQ245,MAX(0,ROUND(ROUND(Долги!$D$19-SUM($AL245:$AU245),2)-(SUM($H245:L245)-SUM($AL245:AP245)),2)))</f>
        <v>0.0</v>
      </c>
      <c r="N245" s="31">
        <f>AR245+MIN(X244+AH245-AR245,MAX(0,ROUND(ROUND(Долги!$D$19-SUM($AL245:$AU245),2)-(SUM($H245:M245)-SUM($AL245:AQ245)),2)))</f>
        <v>0.0</v>
      </c>
      <c r="O245" s="31">
        <f>AS245+MIN(Y244+AI245-AS245,MAX(0,ROUND(ROUND(Долги!$D$19-SUM($AL245:$AU245),2)-(SUM($H245:N245)-SUM($AL245:AR245)),2)))</f>
        <v>0.0</v>
      </c>
      <c r="P245" s="31">
        <f>AT245+MIN(Z244+AJ245-AT245,MAX(0,ROUND(ROUND(Долги!$D$19-SUM($AL245:$AU245),2)-(SUM($H245:O245)-SUM($AL245:AS245)),2)))</f>
        <v>0.0</v>
      </c>
      <c r="Q245" s="31">
        <f>AU245+MIN(AA244+AK245-AU245,MAX(0,ROUND(ROUND(Долги!$D$19-SUM($AL245:$AU245),2)-(SUM($H245:P245)-SUM($AL245:AT245)),2)))</f>
        <v>0.0</v>
      </c>
      <c r="R245" s="31">
        <f>IF(R244+AB245-H245&lt;=0.01,0,ROUND(R244+AB245-H245,2))</f>
        <v>0.0</v>
      </c>
      <c r="S245" s="31">
        <f>IF(S244+AC245-I245&lt;=0.01,0,ROUND(S244+AC245-I245,2))</f>
        <v>0.0</v>
      </c>
      <c r="T245" s="31">
        <f>IF(T244+AD245-J245&lt;=0.01,0,ROUND(T244+AD245-J245,2))</f>
        <v>0.0</v>
      </c>
      <c r="U245" s="31">
        <f>IF(U244+AE245-K245&lt;=0.01,0,ROUND(U244+AE245-K245,2))</f>
        <v>0.0</v>
      </c>
      <c r="V245" s="31">
        <f>IF(V244+AF245-L245&lt;=0.01,0,ROUND(V244+AF245-L245,2))</f>
        <v>0.0</v>
      </c>
      <c r="W245" s="31">
        <f>IF(W244+AG245-M245&lt;=0.01,0,ROUND(W244+AG245-M245,2))</f>
        <v>0.0</v>
      </c>
      <c r="X245" s="31">
        <f>IF(X244+AH245-N245&lt;=0.01,0,ROUND(X244+AH245-N245,2))</f>
        <v>0.0</v>
      </c>
      <c r="Y245" s="31">
        <f>IF(Y244+AI245-O245&lt;=0.01,0,ROUND(Y244+AI245-O245,2))</f>
        <v>0.0</v>
      </c>
      <c r="Z245" s="31">
        <f>IF(Z244+AJ245-P245&lt;=0.01,0,ROUND(Z244+AJ245-P245,2))</f>
        <v>0.0</v>
      </c>
      <c r="AA245" s="31">
        <f>IF(AA244+AK245-Q245&lt;=0.01,0,ROUND(AA244+AK245-Q245,2))</f>
        <v>0.0</v>
      </c>
      <c r="AB245" s="31">
        <f>ROUND(R244*AB$5/1200,2)</f>
        <v>0.0</v>
      </c>
      <c r="AC245" s="31">
        <f>ROUND(S244*AC$5/1200,2)</f>
        <v>0.0</v>
      </c>
      <c r="AD245" s="31">
        <f>ROUND(T244*AD$5/1200,2)</f>
        <v>0.0</v>
      </c>
      <c r="AE245" s="31">
        <f>ROUND(U244*AE$5/1200,2)</f>
        <v>0.0</v>
      </c>
      <c r="AF245" s="31">
        <f>ROUND(V244*AF$5/1200,2)</f>
        <v>0.0</v>
      </c>
      <c r="AG245" s="31">
        <f>ROUND(W244*AG$5/1200,2)</f>
        <v>0.0</v>
      </c>
      <c r="AH245" s="31">
        <f>ROUND(X244*AH$5/1200,2)</f>
        <v>0.0</v>
      </c>
      <c r="AI245" s="31">
        <f>ROUND(Y244*AI$5/1200,2)</f>
        <v>0.0</v>
      </c>
      <c r="AJ245" s="31">
        <f>ROUND(Z244*AJ$5/1200,2)</f>
        <v>0.0</v>
      </c>
      <c r="AK245" s="31">
        <f>ROUND(AA244*AK$5/1200,2)</f>
        <v>0.0</v>
      </c>
      <c r="AL245" s="31">
        <f>MIN(AL$5,R244+AB245)</f>
        <v>0.0</v>
      </c>
      <c r="AM245" s="31">
        <f>MIN(AM$5,S244+AC245)</f>
        <v>0.0</v>
      </c>
      <c r="AN245" s="31">
        <f>MIN(AN$5,T244+AD245)</f>
        <v>0.0</v>
      </c>
      <c r="AO245" s="31">
        <f>MIN(AO$5,U244+AE245)</f>
        <v>0.0</v>
      </c>
      <c r="AP245" s="31">
        <f>MIN(AP$5,V244+AF245)</f>
        <v>0.0</v>
      </c>
      <c r="AQ245" s="31">
        <f>MIN(AQ$5,W244+AG245)</f>
        <v>0.0</v>
      </c>
      <c r="AR245" s="31">
        <f>MIN(AR$5,X244+AH245)</f>
        <v>0.0</v>
      </c>
      <c r="AS245" s="31">
        <f>MIN(AS$5,Y244+AI245)</f>
        <v>0.0</v>
      </c>
      <c r="AT245" s="31">
        <f>MIN(AT$5,Z244+AJ245)</f>
        <v>0.0</v>
      </c>
      <c r="AU245" s="31">
        <f>MIN(AU$5,AA244+AK245)</f>
        <v>0.0</v>
      </c>
    </row>
    <row r="246">
      <c r="A246" s="25" t="str">
        <f>IF(F245&gt;0.005,241,"")</f>
        <v/>
      </c>
      <c r="B246" s="33" t="str">
        <f>IF(A246="","",EDATE(Долги!$D$5,240))</f>
        <v/>
      </c>
      <c r="C246" s="31">
        <f>SUM(H246:Q246)</f>
        <v>0.0</v>
      </c>
      <c r="D246" s="31">
        <f>SUM(AB246:AK246)</f>
        <v>0.0</v>
      </c>
      <c r="E246" s="31">
        <f>C246-D246</f>
        <v>0.0</v>
      </c>
      <c r="F246" s="31">
        <f>SUM(R246:AA246)</f>
        <v>0.0</v>
      </c>
      <c r="G246" s="34" t="str">
        <f>IF(OR(A246="",$F$5&lt;=0),"",REPT("█",ROUND(20*F246/$F$5,0)))</f>
        <v/>
      </c>
      <c r="H246" s="31">
        <f>AL246+MIN(R245+AB246-AL246,MAX(0,ROUND(Долги!$D$19-SUM($AL246:$AU246),2)))</f>
        <v>0.0</v>
      </c>
      <c r="I246" s="31">
        <f>AM246+MIN(S245+AC246-AM246,MAX(0,ROUND(ROUND(Долги!$D$19-SUM($AL246:$AU246),2)-(SUM($H246:H246)-SUM($AL246:AL246)),2)))</f>
        <v>0.0</v>
      </c>
      <c r="J246" s="31">
        <f>AN246+MIN(T245+AD246-AN246,MAX(0,ROUND(ROUND(Долги!$D$19-SUM($AL246:$AU246),2)-(SUM($H246:I246)-SUM($AL246:AM246)),2)))</f>
        <v>0.0</v>
      </c>
      <c r="K246" s="31">
        <f>AO246+MIN(U245+AE246-AO246,MAX(0,ROUND(ROUND(Долги!$D$19-SUM($AL246:$AU246),2)-(SUM($H246:J246)-SUM($AL246:AN246)),2)))</f>
        <v>0.0</v>
      </c>
      <c r="L246" s="31">
        <f>AP246+MIN(V245+AF246-AP246,MAX(0,ROUND(ROUND(Долги!$D$19-SUM($AL246:$AU246),2)-(SUM($H246:K246)-SUM($AL246:AO246)),2)))</f>
        <v>0.0</v>
      </c>
      <c r="M246" s="31">
        <f>AQ246+MIN(W245+AG246-AQ246,MAX(0,ROUND(ROUND(Долги!$D$19-SUM($AL246:$AU246),2)-(SUM($H246:L246)-SUM($AL246:AP246)),2)))</f>
        <v>0.0</v>
      </c>
      <c r="N246" s="31">
        <f>AR246+MIN(X245+AH246-AR246,MAX(0,ROUND(ROUND(Долги!$D$19-SUM($AL246:$AU246),2)-(SUM($H246:M246)-SUM($AL246:AQ246)),2)))</f>
        <v>0.0</v>
      </c>
      <c r="O246" s="31">
        <f>AS246+MIN(Y245+AI246-AS246,MAX(0,ROUND(ROUND(Долги!$D$19-SUM($AL246:$AU246),2)-(SUM($H246:N246)-SUM($AL246:AR246)),2)))</f>
        <v>0.0</v>
      </c>
      <c r="P246" s="31">
        <f>AT246+MIN(Z245+AJ246-AT246,MAX(0,ROUND(ROUND(Долги!$D$19-SUM($AL246:$AU246),2)-(SUM($H246:O246)-SUM($AL246:AS246)),2)))</f>
        <v>0.0</v>
      </c>
      <c r="Q246" s="31">
        <f>AU246+MIN(AA245+AK246-AU246,MAX(0,ROUND(ROUND(Долги!$D$19-SUM($AL246:$AU246),2)-(SUM($H246:P246)-SUM($AL246:AT246)),2)))</f>
        <v>0.0</v>
      </c>
      <c r="R246" s="31">
        <f>IF(R245+AB246-H246&lt;=0.01,0,ROUND(R245+AB246-H246,2))</f>
        <v>0.0</v>
      </c>
      <c r="S246" s="31">
        <f>IF(S245+AC246-I246&lt;=0.01,0,ROUND(S245+AC246-I246,2))</f>
        <v>0.0</v>
      </c>
      <c r="T246" s="31">
        <f>IF(T245+AD246-J246&lt;=0.01,0,ROUND(T245+AD246-J246,2))</f>
        <v>0.0</v>
      </c>
      <c r="U246" s="31">
        <f>IF(U245+AE246-K246&lt;=0.01,0,ROUND(U245+AE246-K246,2))</f>
        <v>0.0</v>
      </c>
      <c r="V246" s="31">
        <f>IF(V245+AF246-L246&lt;=0.01,0,ROUND(V245+AF246-L246,2))</f>
        <v>0.0</v>
      </c>
      <c r="W246" s="31">
        <f>IF(W245+AG246-M246&lt;=0.01,0,ROUND(W245+AG246-M246,2))</f>
        <v>0.0</v>
      </c>
      <c r="X246" s="31">
        <f>IF(X245+AH246-N246&lt;=0.01,0,ROUND(X245+AH246-N246,2))</f>
        <v>0.0</v>
      </c>
      <c r="Y246" s="31">
        <f>IF(Y245+AI246-O246&lt;=0.01,0,ROUND(Y245+AI246-O246,2))</f>
        <v>0.0</v>
      </c>
      <c r="Z246" s="31">
        <f>IF(Z245+AJ246-P246&lt;=0.01,0,ROUND(Z245+AJ246-P246,2))</f>
        <v>0.0</v>
      </c>
      <c r="AA246" s="31">
        <f>IF(AA245+AK246-Q246&lt;=0.01,0,ROUND(AA245+AK246-Q246,2))</f>
        <v>0.0</v>
      </c>
      <c r="AB246" s="31">
        <f>ROUND(R245*AB$5/1200,2)</f>
        <v>0.0</v>
      </c>
      <c r="AC246" s="31">
        <f>ROUND(S245*AC$5/1200,2)</f>
        <v>0.0</v>
      </c>
      <c r="AD246" s="31">
        <f>ROUND(T245*AD$5/1200,2)</f>
        <v>0.0</v>
      </c>
      <c r="AE246" s="31">
        <f>ROUND(U245*AE$5/1200,2)</f>
        <v>0.0</v>
      </c>
      <c r="AF246" s="31">
        <f>ROUND(V245*AF$5/1200,2)</f>
        <v>0.0</v>
      </c>
      <c r="AG246" s="31">
        <f>ROUND(W245*AG$5/1200,2)</f>
        <v>0.0</v>
      </c>
      <c r="AH246" s="31">
        <f>ROUND(X245*AH$5/1200,2)</f>
        <v>0.0</v>
      </c>
      <c r="AI246" s="31">
        <f>ROUND(Y245*AI$5/1200,2)</f>
        <v>0.0</v>
      </c>
      <c r="AJ246" s="31">
        <f>ROUND(Z245*AJ$5/1200,2)</f>
        <v>0.0</v>
      </c>
      <c r="AK246" s="31">
        <f>ROUND(AA245*AK$5/1200,2)</f>
        <v>0.0</v>
      </c>
      <c r="AL246" s="31">
        <f>MIN(AL$5,R245+AB246)</f>
        <v>0.0</v>
      </c>
      <c r="AM246" s="31">
        <f>MIN(AM$5,S245+AC246)</f>
        <v>0.0</v>
      </c>
      <c r="AN246" s="31">
        <f>MIN(AN$5,T245+AD246)</f>
        <v>0.0</v>
      </c>
      <c r="AO246" s="31">
        <f>MIN(AO$5,U245+AE246)</f>
        <v>0.0</v>
      </c>
      <c r="AP246" s="31">
        <f>MIN(AP$5,V245+AF246)</f>
        <v>0.0</v>
      </c>
      <c r="AQ246" s="31">
        <f>MIN(AQ$5,W245+AG246)</f>
        <v>0.0</v>
      </c>
      <c r="AR246" s="31">
        <f>MIN(AR$5,X245+AH246)</f>
        <v>0.0</v>
      </c>
      <c r="AS246" s="31">
        <f>MIN(AS$5,Y245+AI246)</f>
        <v>0.0</v>
      </c>
      <c r="AT246" s="31">
        <f>MIN(AT$5,Z245+AJ246)</f>
        <v>0.0</v>
      </c>
      <c r="AU246" s="31">
        <f>MIN(AU$5,AA245+AK246)</f>
        <v>0.0</v>
      </c>
    </row>
    <row r="247">
      <c r="A247" s="25" t="str">
        <f>IF(F246&gt;0.005,242,"")</f>
        <v/>
      </c>
      <c r="B247" s="33" t="str">
        <f>IF(A247="","",EDATE(Долги!$D$5,241))</f>
        <v/>
      </c>
      <c r="C247" s="31">
        <f>SUM(H247:Q247)</f>
        <v>0.0</v>
      </c>
      <c r="D247" s="31">
        <f>SUM(AB247:AK247)</f>
        <v>0.0</v>
      </c>
      <c r="E247" s="31">
        <f>C247-D247</f>
        <v>0.0</v>
      </c>
      <c r="F247" s="31">
        <f>SUM(R247:AA247)</f>
        <v>0.0</v>
      </c>
      <c r="G247" s="34" t="str">
        <f>IF(OR(A247="",$F$5&lt;=0),"",REPT("█",ROUND(20*F247/$F$5,0)))</f>
        <v/>
      </c>
      <c r="H247" s="31">
        <f>AL247+MIN(R246+AB247-AL247,MAX(0,ROUND(Долги!$D$19-SUM($AL247:$AU247),2)))</f>
        <v>0.0</v>
      </c>
      <c r="I247" s="31">
        <f>AM247+MIN(S246+AC247-AM247,MAX(0,ROUND(ROUND(Долги!$D$19-SUM($AL247:$AU247),2)-(SUM($H247:H247)-SUM($AL247:AL247)),2)))</f>
        <v>0.0</v>
      </c>
      <c r="J247" s="31">
        <f>AN247+MIN(T246+AD247-AN247,MAX(0,ROUND(ROUND(Долги!$D$19-SUM($AL247:$AU247),2)-(SUM($H247:I247)-SUM($AL247:AM247)),2)))</f>
        <v>0.0</v>
      </c>
      <c r="K247" s="31">
        <f>AO247+MIN(U246+AE247-AO247,MAX(0,ROUND(ROUND(Долги!$D$19-SUM($AL247:$AU247),2)-(SUM($H247:J247)-SUM($AL247:AN247)),2)))</f>
        <v>0.0</v>
      </c>
      <c r="L247" s="31">
        <f>AP247+MIN(V246+AF247-AP247,MAX(0,ROUND(ROUND(Долги!$D$19-SUM($AL247:$AU247),2)-(SUM($H247:K247)-SUM($AL247:AO247)),2)))</f>
        <v>0.0</v>
      </c>
      <c r="M247" s="31">
        <f>AQ247+MIN(W246+AG247-AQ247,MAX(0,ROUND(ROUND(Долги!$D$19-SUM($AL247:$AU247),2)-(SUM($H247:L247)-SUM($AL247:AP247)),2)))</f>
        <v>0.0</v>
      </c>
      <c r="N247" s="31">
        <f>AR247+MIN(X246+AH247-AR247,MAX(0,ROUND(ROUND(Долги!$D$19-SUM($AL247:$AU247),2)-(SUM($H247:M247)-SUM($AL247:AQ247)),2)))</f>
        <v>0.0</v>
      </c>
      <c r="O247" s="31">
        <f>AS247+MIN(Y246+AI247-AS247,MAX(0,ROUND(ROUND(Долги!$D$19-SUM($AL247:$AU247),2)-(SUM($H247:N247)-SUM($AL247:AR247)),2)))</f>
        <v>0.0</v>
      </c>
      <c r="P247" s="31">
        <f>AT247+MIN(Z246+AJ247-AT247,MAX(0,ROUND(ROUND(Долги!$D$19-SUM($AL247:$AU247),2)-(SUM($H247:O247)-SUM($AL247:AS247)),2)))</f>
        <v>0.0</v>
      </c>
      <c r="Q247" s="31">
        <f>AU247+MIN(AA246+AK247-AU247,MAX(0,ROUND(ROUND(Долги!$D$19-SUM($AL247:$AU247),2)-(SUM($H247:P247)-SUM($AL247:AT247)),2)))</f>
        <v>0.0</v>
      </c>
      <c r="R247" s="31">
        <f>IF(R246+AB247-H247&lt;=0.01,0,ROUND(R246+AB247-H247,2))</f>
        <v>0.0</v>
      </c>
      <c r="S247" s="31">
        <f>IF(S246+AC247-I247&lt;=0.01,0,ROUND(S246+AC247-I247,2))</f>
        <v>0.0</v>
      </c>
      <c r="T247" s="31">
        <f>IF(T246+AD247-J247&lt;=0.01,0,ROUND(T246+AD247-J247,2))</f>
        <v>0.0</v>
      </c>
      <c r="U247" s="31">
        <f>IF(U246+AE247-K247&lt;=0.01,0,ROUND(U246+AE247-K247,2))</f>
        <v>0.0</v>
      </c>
      <c r="V247" s="31">
        <f>IF(V246+AF247-L247&lt;=0.01,0,ROUND(V246+AF247-L247,2))</f>
        <v>0.0</v>
      </c>
      <c r="W247" s="31">
        <f>IF(W246+AG247-M247&lt;=0.01,0,ROUND(W246+AG247-M247,2))</f>
        <v>0.0</v>
      </c>
      <c r="X247" s="31">
        <f>IF(X246+AH247-N247&lt;=0.01,0,ROUND(X246+AH247-N247,2))</f>
        <v>0.0</v>
      </c>
      <c r="Y247" s="31">
        <f>IF(Y246+AI247-O247&lt;=0.01,0,ROUND(Y246+AI247-O247,2))</f>
        <v>0.0</v>
      </c>
      <c r="Z247" s="31">
        <f>IF(Z246+AJ247-P247&lt;=0.01,0,ROUND(Z246+AJ247-P247,2))</f>
        <v>0.0</v>
      </c>
      <c r="AA247" s="31">
        <f>IF(AA246+AK247-Q247&lt;=0.01,0,ROUND(AA246+AK247-Q247,2))</f>
        <v>0.0</v>
      </c>
      <c r="AB247" s="31">
        <f>ROUND(R246*AB$5/1200,2)</f>
        <v>0.0</v>
      </c>
      <c r="AC247" s="31">
        <f>ROUND(S246*AC$5/1200,2)</f>
        <v>0.0</v>
      </c>
      <c r="AD247" s="31">
        <f>ROUND(T246*AD$5/1200,2)</f>
        <v>0.0</v>
      </c>
      <c r="AE247" s="31">
        <f>ROUND(U246*AE$5/1200,2)</f>
        <v>0.0</v>
      </c>
      <c r="AF247" s="31">
        <f>ROUND(V246*AF$5/1200,2)</f>
        <v>0.0</v>
      </c>
      <c r="AG247" s="31">
        <f>ROUND(W246*AG$5/1200,2)</f>
        <v>0.0</v>
      </c>
      <c r="AH247" s="31">
        <f>ROUND(X246*AH$5/1200,2)</f>
        <v>0.0</v>
      </c>
      <c r="AI247" s="31">
        <f>ROUND(Y246*AI$5/1200,2)</f>
        <v>0.0</v>
      </c>
      <c r="AJ247" s="31">
        <f>ROUND(Z246*AJ$5/1200,2)</f>
        <v>0.0</v>
      </c>
      <c r="AK247" s="31">
        <f>ROUND(AA246*AK$5/1200,2)</f>
        <v>0.0</v>
      </c>
      <c r="AL247" s="31">
        <f>MIN(AL$5,R246+AB247)</f>
        <v>0.0</v>
      </c>
      <c r="AM247" s="31">
        <f>MIN(AM$5,S246+AC247)</f>
        <v>0.0</v>
      </c>
      <c r="AN247" s="31">
        <f>MIN(AN$5,T246+AD247)</f>
        <v>0.0</v>
      </c>
      <c r="AO247" s="31">
        <f>MIN(AO$5,U246+AE247)</f>
        <v>0.0</v>
      </c>
      <c r="AP247" s="31">
        <f>MIN(AP$5,V246+AF247)</f>
        <v>0.0</v>
      </c>
      <c r="AQ247" s="31">
        <f>MIN(AQ$5,W246+AG247)</f>
        <v>0.0</v>
      </c>
      <c r="AR247" s="31">
        <f>MIN(AR$5,X246+AH247)</f>
        <v>0.0</v>
      </c>
      <c r="AS247" s="31">
        <f>MIN(AS$5,Y246+AI247)</f>
        <v>0.0</v>
      </c>
      <c r="AT247" s="31">
        <f>MIN(AT$5,Z246+AJ247)</f>
        <v>0.0</v>
      </c>
      <c r="AU247" s="31">
        <f>MIN(AU$5,AA246+AK247)</f>
        <v>0.0</v>
      </c>
    </row>
    <row r="248">
      <c r="A248" s="25" t="str">
        <f>IF(F247&gt;0.005,243,"")</f>
        <v/>
      </c>
      <c r="B248" s="33" t="str">
        <f>IF(A248="","",EDATE(Долги!$D$5,242))</f>
        <v/>
      </c>
      <c r="C248" s="31">
        <f>SUM(H248:Q248)</f>
        <v>0.0</v>
      </c>
      <c r="D248" s="31">
        <f>SUM(AB248:AK248)</f>
        <v>0.0</v>
      </c>
      <c r="E248" s="31">
        <f>C248-D248</f>
        <v>0.0</v>
      </c>
      <c r="F248" s="31">
        <f>SUM(R248:AA248)</f>
        <v>0.0</v>
      </c>
      <c r="G248" s="34" t="str">
        <f>IF(OR(A248="",$F$5&lt;=0),"",REPT("█",ROUND(20*F248/$F$5,0)))</f>
        <v/>
      </c>
      <c r="H248" s="31">
        <f>AL248+MIN(R247+AB248-AL248,MAX(0,ROUND(Долги!$D$19-SUM($AL248:$AU248),2)))</f>
        <v>0.0</v>
      </c>
      <c r="I248" s="31">
        <f>AM248+MIN(S247+AC248-AM248,MAX(0,ROUND(ROUND(Долги!$D$19-SUM($AL248:$AU248),2)-(SUM($H248:H248)-SUM($AL248:AL248)),2)))</f>
        <v>0.0</v>
      </c>
      <c r="J248" s="31">
        <f>AN248+MIN(T247+AD248-AN248,MAX(0,ROUND(ROUND(Долги!$D$19-SUM($AL248:$AU248),2)-(SUM($H248:I248)-SUM($AL248:AM248)),2)))</f>
        <v>0.0</v>
      </c>
      <c r="K248" s="31">
        <f>AO248+MIN(U247+AE248-AO248,MAX(0,ROUND(ROUND(Долги!$D$19-SUM($AL248:$AU248),2)-(SUM($H248:J248)-SUM($AL248:AN248)),2)))</f>
        <v>0.0</v>
      </c>
      <c r="L248" s="31">
        <f>AP248+MIN(V247+AF248-AP248,MAX(0,ROUND(ROUND(Долги!$D$19-SUM($AL248:$AU248),2)-(SUM($H248:K248)-SUM($AL248:AO248)),2)))</f>
        <v>0.0</v>
      </c>
      <c r="M248" s="31">
        <f>AQ248+MIN(W247+AG248-AQ248,MAX(0,ROUND(ROUND(Долги!$D$19-SUM($AL248:$AU248),2)-(SUM($H248:L248)-SUM($AL248:AP248)),2)))</f>
        <v>0.0</v>
      </c>
      <c r="N248" s="31">
        <f>AR248+MIN(X247+AH248-AR248,MAX(0,ROUND(ROUND(Долги!$D$19-SUM($AL248:$AU248),2)-(SUM($H248:M248)-SUM($AL248:AQ248)),2)))</f>
        <v>0.0</v>
      </c>
      <c r="O248" s="31">
        <f>AS248+MIN(Y247+AI248-AS248,MAX(0,ROUND(ROUND(Долги!$D$19-SUM($AL248:$AU248),2)-(SUM($H248:N248)-SUM($AL248:AR248)),2)))</f>
        <v>0.0</v>
      </c>
      <c r="P248" s="31">
        <f>AT248+MIN(Z247+AJ248-AT248,MAX(0,ROUND(ROUND(Долги!$D$19-SUM($AL248:$AU248),2)-(SUM($H248:O248)-SUM($AL248:AS248)),2)))</f>
        <v>0.0</v>
      </c>
      <c r="Q248" s="31">
        <f>AU248+MIN(AA247+AK248-AU248,MAX(0,ROUND(ROUND(Долги!$D$19-SUM($AL248:$AU248),2)-(SUM($H248:P248)-SUM($AL248:AT248)),2)))</f>
        <v>0.0</v>
      </c>
      <c r="R248" s="31">
        <f>IF(R247+AB248-H248&lt;=0.01,0,ROUND(R247+AB248-H248,2))</f>
        <v>0.0</v>
      </c>
      <c r="S248" s="31">
        <f>IF(S247+AC248-I248&lt;=0.01,0,ROUND(S247+AC248-I248,2))</f>
        <v>0.0</v>
      </c>
      <c r="T248" s="31">
        <f>IF(T247+AD248-J248&lt;=0.01,0,ROUND(T247+AD248-J248,2))</f>
        <v>0.0</v>
      </c>
      <c r="U248" s="31">
        <f>IF(U247+AE248-K248&lt;=0.01,0,ROUND(U247+AE248-K248,2))</f>
        <v>0.0</v>
      </c>
      <c r="V248" s="31">
        <f>IF(V247+AF248-L248&lt;=0.01,0,ROUND(V247+AF248-L248,2))</f>
        <v>0.0</v>
      </c>
      <c r="W248" s="31">
        <f>IF(W247+AG248-M248&lt;=0.01,0,ROUND(W247+AG248-M248,2))</f>
        <v>0.0</v>
      </c>
      <c r="X248" s="31">
        <f>IF(X247+AH248-N248&lt;=0.01,0,ROUND(X247+AH248-N248,2))</f>
        <v>0.0</v>
      </c>
      <c r="Y248" s="31">
        <f>IF(Y247+AI248-O248&lt;=0.01,0,ROUND(Y247+AI248-O248,2))</f>
        <v>0.0</v>
      </c>
      <c r="Z248" s="31">
        <f>IF(Z247+AJ248-P248&lt;=0.01,0,ROUND(Z247+AJ248-P248,2))</f>
        <v>0.0</v>
      </c>
      <c r="AA248" s="31">
        <f>IF(AA247+AK248-Q248&lt;=0.01,0,ROUND(AA247+AK248-Q248,2))</f>
        <v>0.0</v>
      </c>
      <c r="AB248" s="31">
        <f>ROUND(R247*AB$5/1200,2)</f>
        <v>0.0</v>
      </c>
      <c r="AC248" s="31">
        <f>ROUND(S247*AC$5/1200,2)</f>
        <v>0.0</v>
      </c>
      <c r="AD248" s="31">
        <f>ROUND(T247*AD$5/1200,2)</f>
        <v>0.0</v>
      </c>
      <c r="AE248" s="31">
        <f>ROUND(U247*AE$5/1200,2)</f>
        <v>0.0</v>
      </c>
      <c r="AF248" s="31">
        <f>ROUND(V247*AF$5/1200,2)</f>
        <v>0.0</v>
      </c>
      <c r="AG248" s="31">
        <f>ROUND(W247*AG$5/1200,2)</f>
        <v>0.0</v>
      </c>
      <c r="AH248" s="31">
        <f>ROUND(X247*AH$5/1200,2)</f>
        <v>0.0</v>
      </c>
      <c r="AI248" s="31">
        <f>ROUND(Y247*AI$5/1200,2)</f>
        <v>0.0</v>
      </c>
      <c r="AJ248" s="31">
        <f>ROUND(Z247*AJ$5/1200,2)</f>
        <v>0.0</v>
      </c>
      <c r="AK248" s="31">
        <f>ROUND(AA247*AK$5/1200,2)</f>
        <v>0.0</v>
      </c>
      <c r="AL248" s="31">
        <f>MIN(AL$5,R247+AB248)</f>
        <v>0.0</v>
      </c>
      <c r="AM248" s="31">
        <f>MIN(AM$5,S247+AC248)</f>
        <v>0.0</v>
      </c>
      <c r="AN248" s="31">
        <f>MIN(AN$5,T247+AD248)</f>
        <v>0.0</v>
      </c>
      <c r="AO248" s="31">
        <f>MIN(AO$5,U247+AE248)</f>
        <v>0.0</v>
      </c>
      <c r="AP248" s="31">
        <f>MIN(AP$5,V247+AF248)</f>
        <v>0.0</v>
      </c>
      <c r="AQ248" s="31">
        <f>MIN(AQ$5,W247+AG248)</f>
        <v>0.0</v>
      </c>
      <c r="AR248" s="31">
        <f>MIN(AR$5,X247+AH248)</f>
        <v>0.0</v>
      </c>
      <c r="AS248" s="31">
        <f>MIN(AS$5,Y247+AI248)</f>
        <v>0.0</v>
      </c>
      <c r="AT248" s="31">
        <f>MIN(AT$5,Z247+AJ248)</f>
        <v>0.0</v>
      </c>
      <c r="AU248" s="31">
        <f>MIN(AU$5,AA247+AK248)</f>
        <v>0.0</v>
      </c>
    </row>
    <row r="249">
      <c r="A249" s="25" t="str">
        <f>IF(F248&gt;0.005,244,"")</f>
        <v/>
      </c>
      <c r="B249" s="33" t="str">
        <f>IF(A249="","",EDATE(Долги!$D$5,243))</f>
        <v/>
      </c>
      <c r="C249" s="31">
        <f>SUM(H249:Q249)</f>
        <v>0.0</v>
      </c>
      <c r="D249" s="31">
        <f>SUM(AB249:AK249)</f>
        <v>0.0</v>
      </c>
      <c r="E249" s="31">
        <f>C249-D249</f>
        <v>0.0</v>
      </c>
      <c r="F249" s="31">
        <f>SUM(R249:AA249)</f>
        <v>0.0</v>
      </c>
      <c r="G249" s="34" t="str">
        <f>IF(OR(A249="",$F$5&lt;=0),"",REPT("█",ROUND(20*F249/$F$5,0)))</f>
        <v/>
      </c>
      <c r="H249" s="31">
        <f>AL249+MIN(R248+AB249-AL249,MAX(0,ROUND(Долги!$D$19-SUM($AL249:$AU249),2)))</f>
        <v>0.0</v>
      </c>
      <c r="I249" s="31">
        <f>AM249+MIN(S248+AC249-AM249,MAX(0,ROUND(ROUND(Долги!$D$19-SUM($AL249:$AU249),2)-(SUM($H249:H249)-SUM($AL249:AL249)),2)))</f>
        <v>0.0</v>
      </c>
      <c r="J249" s="31">
        <f>AN249+MIN(T248+AD249-AN249,MAX(0,ROUND(ROUND(Долги!$D$19-SUM($AL249:$AU249),2)-(SUM($H249:I249)-SUM($AL249:AM249)),2)))</f>
        <v>0.0</v>
      </c>
      <c r="K249" s="31">
        <f>AO249+MIN(U248+AE249-AO249,MAX(0,ROUND(ROUND(Долги!$D$19-SUM($AL249:$AU249),2)-(SUM($H249:J249)-SUM($AL249:AN249)),2)))</f>
        <v>0.0</v>
      </c>
      <c r="L249" s="31">
        <f>AP249+MIN(V248+AF249-AP249,MAX(0,ROUND(ROUND(Долги!$D$19-SUM($AL249:$AU249),2)-(SUM($H249:K249)-SUM($AL249:AO249)),2)))</f>
        <v>0.0</v>
      </c>
      <c r="M249" s="31">
        <f>AQ249+MIN(W248+AG249-AQ249,MAX(0,ROUND(ROUND(Долги!$D$19-SUM($AL249:$AU249),2)-(SUM($H249:L249)-SUM($AL249:AP249)),2)))</f>
        <v>0.0</v>
      </c>
      <c r="N249" s="31">
        <f>AR249+MIN(X248+AH249-AR249,MAX(0,ROUND(ROUND(Долги!$D$19-SUM($AL249:$AU249),2)-(SUM($H249:M249)-SUM($AL249:AQ249)),2)))</f>
        <v>0.0</v>
      </c>
      <c r="O249" s="31">
        <f>AS249+MIN(Y248+AI249-AS249,MAX(0,ROUND(ROUND(Долги!$D$19-SUM($AL249:$AU249),2)-(SUM($H249:N249)-SUM($AL249:AR249)),2)))</f>
        <v>0.0</v>
      </c>
      <c r="P249" s="31">
        <f>AT249+MIN(Z248+AJ249-AT249,MAX(0,ROUND(ROUND(Долги!$D$19-SUM($AL249:$AU249),2)-(SUM($H249:O249)-SUM($AL249:AS249)),2)))</f>
        <v>0.0</v>
      </c>
      <c r="Q249" s="31">
        <f>AU249+MIN(AA248+AK249-AU249,MAX(0,ROUND(ROUND(Долги!$D$19-SUM($AL249:$AU249),2)-(SUM($H249:P249)-SUM($AL249:AT249)),2)))</f>
        <v>0.0</v>
      </c>
      <c r="R249" s="31">
        <f>IF(R248+AB249-H249&lt;=0.01,0,ROUND(R248+AB249-H249,2))</f>
        <v>0.0</v>
      </c>
      <c r="S249" s="31">
        <f>IF(S248+AC249-I249&lt;=0.01,0,ROUND(S248+AC249-I249,2))</f>
        <v>0.0</v>
      </c>
      <c r="T249" s="31">
        <f>IF(T248+AD249-J249&lt;=0.01,0,ROUND(T248+AD249-J249,2))</f>
        <v>0.0</v>
      </c>
      <c r="U249" s="31">
        <f>IF(U248+AE249-K249&lt;=0.01,0,ROUND(U248+AE249-K249,2))</f>
        <v>0.0</v>
      </c>
      <c r="V249" s="31">
        <f>IF(V248+AF249-L249&lt;=0.01,0,ROUND(V248+AF249-L249,2))</f>
        <v>0.0</v>
      </c>
      <c r="W249" s="31">
        <f>IF(W248+AG249-M249&lt;=0.01,0,ROUND(W248+AG249-M249,2))</f>
        <v>0.0</v>
      </c>
      <c r="X249" s="31">
        <f>IF(X248+AH249-N249&lt;=0.01,0,ROUND(X248+AH249-N249,2))</f>
        <v>0.0</v>
      </c>
      <c r="Y249" s="31">
        <f>IF(Y248+AI249-O249&lt;=0.01,0,ROUND(Y248+AI249-O249,2))</f>
        <v>0.0</v>
      </c>
      <c r="Z249" s="31">
        <f>IF(Z248+AJ249-P249&lt;=0.01,0,ROUND(Z248+AJ249-P249,2))</f>
        <v>0.0</v>
      </c>
      <c r="AA249" s="31">
        <f>IF(AA248+AK249-Q249&lt;=0.01,0,ROUND(AA248+AK249-Q249,2))</f>
        <v>0.0</v>
      </c>
      <c r="AB249" s="31">
        <f>ROUND(R248*AB$5/1200,2)</f>
        <v>0.0</v>
      </c>
      <c r="AC249" s="31">
        <f>ROUND(S248*AC$5/1200,2)</f>
        <v>0.0</v>
      </c>
      <c r="AD249" s="31">
        <f>ROUND(T248*AD$5/1200,2)</f>
        <v>0.0</v>
      </c>
      <c r="AE249" s="31">
        <f>ROUND(U248*AE$5/1200,2)</f>
        <v>0.0</v>
      </c>
      <c r="AF249" s="31">
        <f>ROUND(V248*AF$5/1200,2)</f>
        <v>0.0</v>
      </c>
      <c r="AG249" s="31">
        <f>ROUND(W248*AG$5/1200,2)</f>
        <v>0.0</v>
      </c>
      <c r="AH249" s="31">
        <f>ROUND(X248*AH$5/1200,2)</f>
        <v>0.0</v>
      </c>
      <c r="AI249" s="31">
        <f>ROUND(Y248*AI$5/1200,2)</f>
        <v>0.0</v>
      </c>
      <c r="AJ249" s="31">
        <f>ROUND(Z248*AJ$5/1200,2)</f>
        <v>0.0</v>
      </c>
      <c r="AK249" s="31">
        <f>ROUND(AA248*AK$5/1200,2)</f>
        <v>0.0</v>
      </c>
      <c r="AL249" s="31">
        <f>MIN(AL$5,R248+AB249)</f>
        <v>0.0</v>
      </c>
      <c r="AM249" s="31">
        <f>MIN(AM$5,S248+AC249)</f>
        <v>0.0</v>
      </c>
      <c r="AN249" s="31">
        <f>MIN(AN$5,T248+AD249)</f>
        <v>0.0</v>
      </c>
      <c r="AO249" s="31">
        <f>MIN(AO$5,U248+AE249)</f>
        <v>0.0</v>
      </c>
      <c r="AP249" s="31">
        <f>MIN(AP$5,V248+AF249)</f>
        <v>0.0</v>
      </c>
      <c r="AQ249" s="31">
        <f>MIN(AQ$5,W248+AG249)</f>
        <v>0.0</v>
      </c>
      <c r="AR249" s="31">
        <f>MIN(AR$5,X248+AH249)</f>
        <v>0.0</v>
      </c>
      <c r="AS249" s="31">
        <f>MIN(AS$5,Y248+AI249)</f>
        <v>0.0</v>
      </c>
      <c r="AT249" s="31">
        <f>MIN(AT$5,Z248+AJ249)</f>
        <v>0.0</v>
      </c>
      <c r="AU249" s="31">
        <f>MIN(AU$5,AA248+AK249)</f>
        <v>0.0</v>
      </c>
    </row>
    <row r="250">
      <c r="A250" s="25" t="str">
        <f>IF(F249&gt;0.005,245,"")</f>
        <v/>
      </c>
      <c r="B250" s="33" t="str">
        <f>IF(A250="","",EDATE(Долги!$D$5,244))</f>
        <v/>
      </c>
      <c r="C250" s="31">
        <f>SUM(H250:Q250)</f>
        <v>0.0</v>
      </c>
      <c r="D250" s="31">
        <f>SUM(AB250:AK250)</f>
        <v>0.0</v>
      </c>
      <c r="E250" s="31">
        <f>C250-D250</f>
        <v>0.0</v>
      </c>
      <c r="F250" s="31">
        <f>SUM(R250:AA250)</f>
        <v>0.0</v>
      </c>
      <c r="G250" s="34" t="str">
        <f>IF(OR(A250="",$F$5&lt;=0),"",REPT("█",ROUND(20*F250/$F$5,0)))</f>
        <v/>
      </c>
      <c r="H250" s="31">
        <f>AL250+MIN(R249+AB250-AL250,MAX(0,ROUND(Долги!$D$19-SUM($AL250:$AU250),2)))</f>
        <v>0.0</v>
      </c>
      <c r="I250" s="31">
        <f>AM250+MIN(S249+AC250-AM250,MAX(0,ROUND(ROUND(Долги!$D$19-SUM($AL250:$AU250),2)-(SUM($H250:H250)-SUM($AL250:AL250)),2)))</f>
        <v>0.0</v>
      </c>
      <c r="J250" s="31">
        <f>AN250+MIN(T249+AD250-AN250,MAX(0,ROUND(ROUND(Долги!$D$19-SUM($AL250:$AU250),2)-(SUM($H250:I250)-SUM($AL250:AM250)),2)))</f>
        <v>0.0</v>
      </c>
      <c r="K250" s="31">
        <f>AO250+MIN(U249+AE250-AO250,MAX(0,ROUND(ROUND(Долги!$D$19-SUM($AL250:$AU250),2)-(SUM($H250:J250)-SUM($AL250:AN250)),2)))</f>
        <v>0.0</v>
      </c>
      <c r="L250" s="31">
        <f>AP250+MIN(V249+AF250-AP250,MAX(0,ROUND(ROUND(Долги!$D$19-SUM($AL250:$AU250),2)-(SUM($H250:K250)-SUM($AL250:AO250)),2)))</f>
        <v>0.0</v>
      </c>
      <c r="M250" s="31">
        <f>AQ250+MIN(W249+AG250-AQ250,MAX(0,ROUND(ROUND(Долги!$D$19-SUM($AL250:$AU250),2)-(SUM($H250:L250)-SUM($AL250:AP250)),2)))</f>
        <v>0.0</v>
      </c>
      <c r="N250" s="31">
        <f>AR250+MIN(X249+AH250-AR250,MAX(0,ROUND(ROUND(Долги!$D$19-SUM($AL250:$AU250),2)-(SUM($H250:M250)-SUM($AL250:AQ250)),2)))</f>
        <v>0.0</v>
      </c>
      <c r="O250" s="31">
        <f>AS250+MIN(Y249+AI250-AS250,MAX(0,ROUND(ROUND(Долги!$D$19-SUM($AL250:$AU250),2)-(SUM($H250:N250)-SUM($AL250:AR250)),2)))</f>
        <v>0.0</v>
      </c>
      <c r="P250" s="31">
        <f>AT250+MIN(Z249+AJ250-AT250,MAX(0,ROUND(ROUND(Долги!$D$19-SUM($AL250:$AU250),2)-(SUM($H250:O250)-SUM($AL250:AS250)),2)))</f>
        <v>0.0</v>
      </c>
      <c r="Q250" s="31">
        <f>AU250+MIN(AA249+AK250-AU250,MAX(0,ROUND(ROUND(Долги!$D$19-SUM($AL250:$AU250),2)-(SUM($H250:P250)-SUM($AL250:AT250)),2)))</f>
        <v>0.0</v>
      </c>
      <c r="R250" s="31">
        <f>IF(R249+AB250-H250&lt;=0.01,0,ROUND(R249+AB250-H250,2))</f>
        <v>0.0</v>
      </c>
      <c r="S250" s="31">
        <f>IF(S249+AC250-I250&lt;=0.01,0,ROUND(S249+AC250-I250,2))</f>
        <v>0.0</v>
      </c>
      <c r="T250" s="31">
        <f>IF(T249+AD250-J250&lt;=0.01,0,ROUND(T249+AD250-J250,2))</f>
        <v>0.0</v>
      </c>
      <c r="U250" s="31">
        <f>IF(U249+AE250-K250&lt;=0.01,0,ROUND(U249+AE250-K250,2))</f>
        <v>0.0</v>
      </c>
      <c r="V250" s="31">
        <f>IF(V249+AF250-L250&lt;=0.01,0,ROUND(V249+AF250-L250,2))</f>
        <v>0.0</v>
      </c>
      <c r="W250" s="31">
        <f>IF(W249+AG250-M250&lt;=0.01,0,ROUND(W249+AG250-M250,2))</f>
        <v>0.0</v>
      </c>
      <c r="X250" s="31">
        <f>IF(X249+AH250-N250&lt;=0.01,0,ROUND(X249+AH250-N250,2))</f>
        <v>0.0</v>
      </c>
      <c r="Y250" s="31">
        <f>IF(Y249+AI250-O250&lt;=0.01,0,ROUND(Y249+AI250-O250,2))</f>
        <v>0.0</v>
      </c>
      <c r="Z250" s="31">
        <f>IF(Z249+AJ250-P250&lt;=0.01,0,ROUND(Z249+AJ250-P250,2))</f>
        <v>0.0</v>
      </c>
      <c r="AA250" s="31">
        <f>IF(AA249+AK250-Q250&lt;=0.01,0,ROUND(AA249+AK250-Q250,2))</f>
        <v>0.0</v>
      </c>
      <c r="AB250" s="31">
        <f>ROUND(R249*AB$5/1200,2)</f>
        <v>0.0</v>
      </c>
      <c r="AC250" s="31">
        <f>ROUND(S249*AC$5/1200,2)</f>
        <v>0.0</v>
      </c>
      <c r="AD250" s="31">
        <f>ROUND(T249*AD$5/1200,2)</f>
        <v>0.0</v>
      </c>
      <c r="AE250" s="31">
        <f>ROUND(U249*AE$5/1200,2)</f>
        <v>0.0</v>
      </c>
      <c r="AF250" s="31">
        <f>ROUND(V249*AF$5/1200,2)</f>
        <v>0.0</v>
      </c>
      <c r="AG250" s="31">
        <f>ROUND(W249*AG$5/1200,2)</f>
        <v>0.0</v>
      </c>
      <c r="AH250" s="31">
        <f>ROUND(X249*AH$5/1200,2)</f>
        <v>0.0</v>
      </c>
      <c r="AI250" s="31">
        <f>ROUND(Y249*AI$5/1200,2)</f>
        <v>0.0</v>
      </c>
      <c r="AJ250" s="31">
        <f>ROUND(Z249*AJ$5/1200,2)</f>
        <v>0.0</v>
      </c>
      <c r="AK250" s="31">
        <f>ROUND(AA249*AK$5/1200,2)</f>
        <v>0.0</v>
      </c>
      <c r="AL250" s="31">
        <f>MIN(AL$5,R249+AB250)</f>
        <v>0.0</v>
      </c>
      <c r="AM250" s="31">
        <f>MIN(AM$5,S249+AC250)</f>
        <v>0.0</v>
      </c>
      <c r="AN250" s="31">
        <f>MIN(AN$5,T249+AD250)</f>
        <v>0.0</v>
      </c>
      <c r="AO250" s="31">
        <f>MIN(AO$5,U249+AE250)</f>
        <v>0.0</v>
      </c>
      <c r="AP250" s="31">
        <f>MIN(AP$5,V249+AF250)</f>
        <v>0.0</v>
      </c>
      <c r="AQ250" s="31">
        <f>MIN(AQ$5,W249+AG250)</f>
        <v>0.0</v>
      </c>
      <c r="AR250" s="31">
        <f>MIN(AR$5,X249+AH250)</f>
        <v>0.0</v>
      </c>
      <c r="AS250" s="31">
        <f>MIN(AS$5,Y249+AI250)</f>
        <v>0.0</v>
      </c>
      <c r="AT250" s="31">
        <f>MIN(AT$5,Z249+AJ250)</f>
        <v>0.0</v>
      </c>
      <c r="AU250" s="31">
        <f>MIN(AU$5,AA249+AK250)</f>
        <v>0.0</v>
      </c>
    </row>
    <row r="251">
      <c r="A251" s="25" t="str">
        <f>IF(F250&gt;0.005,246,"")</f>
        <v/>
      </c>
      <c r="B251" s="33" t="str">
        <f>IF(A251="","",EDATE(Долги!$D$5,245))</f>
        <v/>
      </c>
      <c r="C251" s="31">
        <f>SUM(H251:Q251)</f>
        <v>0.0</v>
      </c>
      <c r="D251" s="31">
        <f>SUM(AB251:AK251)</f>
        <v>0.0</v>
      </c>
      <c r="E251" s="31">
        <f>C251-D251</f>
        <v>0.0</v>
      </c>
      <c r="F251" s="31">
        <f>SUM(R251:AA251)</f>
        <v>0.0</v>
      </c>
      <c r="G251" s="34" t="str">
        <f>IF(OR(A251="",$F$5&lt;=0),"",REPT("█",ROUND(20*F251/$F$5,0)))</f>
        <v/>
      </c>
      <c r="H251" s="31">
        <f>AL251+MIN(R250+AB251-AL251,MAX(0,ROUND(Долги!$D$19-SUM($AL251:$AU251),2)))</f>
        <v>0.0</v>
      </c>
      <c r="I251" s="31">
        <f>AM251+MIN(S250+AC251-AM251,MAX(0,ROUND(ROUND(Долги!$D$19-SUM($AL251:$AU251),2)-(SUM($H251:H251)-SUM($AL251:AL251)),2)))</f>
        <v>0.0</v>
      </c>
      <c r="J251" s="31">
        <f>AN251+MIN(T250+AD251-AN251,MAX(0,ROUND(ROUND(Долги!$D$19-SUM($AL251:$AU251),2)-(SUM($H251:I251)-SUM($AL251:AM251)),2)))</f>
        <v>0.0</v>
      </c>
      <c r="K251" s="31">
        <f>AO251+MIN(U250+AE251-AO251,MAX(0,ROUND(ROUND(Долги!$D$19-SUM($AL251:$AU251),2)-(SUM($H251:J251)-SUM($AL251:AN251)),2)))</f>
        <v>0.0</v>
      </c>
      <c r="L251" s="31">
        <f>AP251+MIN(V250+AF251-AP251,MAX(0,ROUND(ROUND(Долги!$D$19-SUM($AL251:$AU251),2)-(SUM($H251:K251)-SUM($AL251:AO251)),2)))</f>
        <v>0.0</v>
      </c>
      <c r="M251" s="31">
        <f>AQ251+MIN(W250+AG251-AQ251,MAX(0,ROUND(ROUND(Долги!$D$19-SUM($AL251:$AU251),2)-(SUM($H251:L251)-SUM($AL251:AP251)),2)))</f>
        <v>0.0</v>
      </c>
      <c r="N251" s="31">
        <f>AR251+MIN(X250+AH251-AR251,MAX(0,ROUND(ROUND(Долги!$D$19-SUM($AL251:$AU251),2)-(SUM($H251:M251)-SUM($AL251:AQ251)),2)))</f>
        <v>0.0</v>
      </c>
      <c r="O251" s="31">
        <f>AS251+MIN(Y250+AI251-AS251,MAX(0,ROUND(ROUND(Долги!$D$19-SUM($AL251:$AU251),2)-(SUM($H251:N251)-SUM($AL251:AR251)),2)))</f>
        <v>0.0</v>
      </c>
      <c r="P251" s="31">
        <f>AT251+MIN(Z250+AJ251-AT251,MAX(0,ROUND(ROUND(Долги!$D$19-SUM($AL251:$AU251),2)-(SUM($H251:O251)-SUM($AL251:AS251)),2)))</f>
        <v>0.0</v>
      </c>
      <c r="Q251" s="31">
        <f>AU251+MIN(AA250+AK251-AU251,MAX(0,ROUND(ROUND(Долги!$D$19-SUM($AL251:$AU251),2)-(SUM($H251:P251)-SUM($AL251:AT251)),2)))</f>
        <v>0.0</v>
      </c>
      <c r="R251" s="31">
        <f>IF(R250+AB251-H251&lt;=0.01,0,ROUND(R250+AB251-H251,2))</f>
        <v>0.0</v>
      </c>
      <c r="S251" s="31">
        <f>IF(S250+AC251-I251&lt;=0.01,0,ROUND(S250+AC251-I251,2))</f>
        <v>0.0</v>
      </c>
      <c r="T251" s="31">
        <f>IF(T250+AD251-J251&lt;=0.01,0,ROUND(T250+AD251-J251,2))</f>
        <v>0.0</v>
      </c>
      <c r="U251" s="31">
        <f>IF(U250+AE251-K251&lt;=0.01,0,ROUND(U250+AE251-K251,2))</f>
        <v>0.0</v>
      </c>
      <c r="V251" s="31">
        <f>IF(V250+AF251-L251&lt;=0.01,0,ROUND(V250+AF251-L251,2))</f>
        <v>0.0</v>
      </c>
      <c r="W251" s="31">
        <f>IF(W250+AG251-M251&lt;=0.01,0,ROUND(W250+AG251-M251,2))</f>
        <v>0.0</v>
      </c>
      <c r="X251" s="31">
        <f>IF(X250+AH251-N251&lt;=0.01,0,ROUND(X250+AH251-N251,2))</f>
        <v>0.0</v>
      </c>
      <c r="Y251" s="31">
        <f>IF(Y250+AI251-O251&lt;=0.01,0,ROUND(Y250+AI251-O251,2))</f>
        <v>0.0</v>
      </c>
      <c r="Z251" s="31">
        <f>IF(Z250+AJ251-P251&lt;=0.01,0,ROUND(Z250+AJ251-P251,2))</f>
        <v>0.0</v>
      </c>
      <c r="AA251" s="31">
        <f>IF(AA250+AK251-Q251&lt;=0.01,0,ROUND(AA250+AK251-Q251,2))</f>
        <v>0.0</v>
      </c>
      <c r="AB251" s="31">
        <f>ROUND(R250*AB$5/1200,2)</f>
        <v>0.0</v>
      </c>
      <c r="AC251" s="31">
        <f>ROUND(S250*AC$5/1200,2)</f>
        <v>0.0</v>
      </c>
      <c r="AD251" s="31">
        <f>ROUND(T250*AD$5/1200,2)</f>
        <v>0.0</v>
      </c>
      <c r="AE251" s="31">
        <f>ROUND(U250*AE$5/1200,2)</f>
        <v>0.0</v>
      </c>
      <c r="AF251" s="31">
        <f>ROUND(V250*AF$5/1200,2)</f>
        <v>0.0</v>
      </c>
      <c r="AG251" s="31">
        <f>ROUND(W250*AG$5/1200,2)</f>
        <v>0.0</v>
      </c>
      <c r="AH251" s="31">
        <f>ROUND(X250*AH$5/1200,2)</f>
        <v>0.0</v>
      </c>
      <c r="AI251" s="31">
        <f>ROUND(Y250*AI$5/1200,2)</f>
        <v>0.0</v>
      </c>
      <c r="AJ251" s="31">
        <f>ROUND(Z250*AJ$5/1200,2)</f>
        <v>0.0</v>
      </c>
      <c r="AK251" s="31">
        <f>ROUND(AA250*AK$5/1200,2)</f>
        <v>0.0</v>
      </c>
      <c r="AL251" s="31">
        <f>MIN(AL$5,R250+AB251)</f>
        <v>0.0</v>
      </c>
      <c r="AM251" s="31">
        <f>MIN(AM$5,S250+AC251)</f>
        <v>0.0</v>
      </c>
      <c r="AN251" s="31">
        <f>MIN(AN$5,T250+AD251)</f>
        <v>0.0</v>
      </c>
      <c r="AO251" s="31">
        <f>MIN(AO$5,U250+AE251)</f>
        <v>0.0</v>
      </c>
      <c r="AP251" s="31">
        <f>MIN(AP$5,V250+AF251)</f>
        <v>0.0</v>
      </c>
      <c r="AQ251" s="31">
        <f>MIN(AQ$5,W250+AG251)</f>
        <v>0.0</v>
      </c>
      <c r="AR251" s="31">
        <f>MIN(AR$5,X250+AH251)</f>
        <v>0.0</v>
      </c>
      <c r="AS251" s="31">
        <f>MIN(AS$5,Y250+AI251)</f>
        <v>0.0</v>
      </c>
      <c r="AT251" s="31">
        <f>MIN(AT$5,Z250+AJ251)</f>
        <v>0.0</v>
      </c>
      <c r="AU251" s="31">
        <f>MIN(AU$5,AA250+AK251)</f>
        <v>0.0</v>
      </c>
    </row>
    <row r="252">
      <c r="A252" s="25" t="str">
        <f>IF(F251&gt;0.005,247,"")</f>
        <v/>
      </c>
      <c r="B252" s="33" t="str">
        <f>IF(A252="","",EDATE(Долги!$D$5,246))</f>
        <v/>
      </c>
      <c r="C252" s="31">
        <f>SUM(H252:Q252)</f>
        <v>0.0</v>
      </c>
      <c r="D252" s="31">
        <f>SUM(AB252:AK252)</f>
        <v>0.0</v>
      </c>
      <c r="E252" s="31">
        <f>C252-D252</f>
        <v>0.0</v>
      </c>
      <c r="F252" s="31">
        <f>SUM(R252:AA252)</f>
        <v>0.0</v>
      </c>
      <c r="G252" s="34" t="str">
        <f>IF(OR(A252="",$F$5&lt;=0),"",REPT("█",ROUND(20*F252/$F$5,0)))</f>
        <v/>
      </c>
      <c r="H252" s="31">
        <f>AL252+MIN(R251+AB252-AL252,MAX(0,ROUND(Долги!$D$19-SUM($AL252:$AU252),2)))</f>
        <v>0.0</v>
      </c>
      <c r="I252" s="31">
        <f>AM252+MIN(S251+AC252-AM252,MAX(0,ROUND(ROUND(Долги!$D$19-SUM($AL252:$AU252),2)-(SUM($H252:H252)-SUM($AL252:AL252)),2)))</f>
        <v>0.0</v>
      </c>
      <c r="J252" s="31">
        <f>AN252+MIN(T251+AD252-AN252,MAX(0,ROUND(ROUND(Долги!$D$19-SUM($AL252:$AU252),2)-(SUM($H252:I252)-SUM($AL252:AM252)),2)))</f>
        <v>0.0</v>
      </c>
      <c r="K252" s="31">
        <f>AO252+MIN(U251+AE252-AO252,MAX(0,ROUND(ROUND(Долги!$D$19-SUM($AL252:$AU252),2)-(SUM($H252:J252)-SUM($AL252:AN252)),2)))</f>
        <v>0.0</v>
      </c>
      <c r="L252" s="31">
        <f>AP252+MIN(V251+AF252-AP252,MAX(0,ROUND(ROUND(Долги!$D$19-SUM($AL252:$AU252),2)-(SUM($H252:K252)-SUM($AL252:AO252)),2)))</f>
        <v>0.0</v>
      </c>
      <c r="M252" s="31">
        <f>AQ252+MIN(W251+AG252-AQ252,MAX(0,ROUND(ROUND(Долги!$D$19-SUM($AL252:$AU252),2)-(SUM($H252:L252)-SUM($AL252:AP252)),2)))</f>
        <v>0.0</v>
      </c>
      <c r="N252" s="31">
        <f>AR252+MIN(X251+AH252-AR252,MAX(0,ROUND(ROUND(Долги!$D$19-SUM($AL252:$AU252),2)-(SUM($H252:M252)-SUM($AL252:AQ252)),2)))</f>
        <v>0.0</v>
      </c>
      <c r="O252" s="31">
        <f>AS252+MIN(Y251+AI252-AS252,MAX(0,ROUND(ROUND(Долги!$D$19-SUM($AL252:$AU252),2)-(SUM($H252:N252)-SUM($AL252:AR252)),2)))</f>
        <v>0.0</v>
      </c>
      <c r="P252" s="31">
        <f>AT252+MIN(Z251+AJ252-AT252,MAX(0,ROUND(ROUND(Долги!$D$19-SUM($AL252:$AU252),2)-(SUM($H252:O252)-SUM($AL252:AS252)),2)))</f>
        <v>0.0</v>
      </c>
      <c r="Q252" s="31">
        <f>AU252+MIN(AA251+AK252-AU252,MAX(0,ROUND(ROUND(Долги!$D$19-SUM($AL252:$AU252),2)-(SUM($H252:P252)-SUM($AL252:AT252)),2)))</f>
        <v>0.0</v>
      </c>
      <c r="R252" s="31">
        <f>IF(R251+AB252-H252&lt;=0.01,0,ROUND(R251+AB252-H252,2))</f>
        <v>0.0</v>
      </c>
      <c r="S252" s="31">
        <f>IF(S251+AC252-I252&lt;=0.01,0,ROUND(S251+AC252-I252,2))</f>
        <v>0.0</v>
      </c>
      <c r="T252" s="31">
        <f>IF(T251+AD252-J252&lt;=0.01,0,ROUND(T251+AD252-J252,2))</f>
        <v>0.0</v>
      </c>
      <c r="U252" s="31">
        <f>IF(U251+AE252-K252&lt;=0.01,0,ROUND(U251+AE252-K252,2))</f>
        <v>0.0</v>
      </c>
      <c r="V252" s="31">
        <f>IF(V251+AF252-L252&lt;=0.01,0,ROUND(V251+AF252-L252,2))</f>
        <v>0.0</v>
      </c>
      <c r="W252" s="31">
        <f>IF(W251+AG252-M252&lt;=0.01,0,ROUND(W251+AG252-M252,2))</f>
        <v>0.0</v>
      </c>
      <c r="X252" s="31">
        <f>IF(X251+AH252-N252&lt;=0.01,0,ROUND(X251+AH252-N252,2))</f>
        <v>0.0</v>
      </c>
      <c r="Y252" s="31">
        <f>IF(Y251+AI252-O252&lt;=0.01,0,ROUND(Y251+AI252-O252,2))</f>
        <v>0.0</v>
      </c>
      <c r="Z252" s="31">
        <f>IF(Z251+AJ252-P252&lt;=0.01,0,ROUND(Z251+AJ252-P252,2))</f>
        <v>0.0</v>
      </c>
      <c r="AA252" s="31">
        <f>IF(AA251+AK252-Q252&lt;=0.01,0,ROUND(AA251+AK252-Q252,2))</f>
        <v>0.0</v>
      </c>
      <c r="AB252" s="31">
        <f>ROUND(R251*AB$5/1200,2)</f>
        <v>0.0</v>
      </c>
      <c r="AC252" s="31">
        <f>ROUND(S251*AC$5/1200,2)</f>
        <v>0.0</v>
      </c>
      <c r="AD252" s="31">
        <f>ROUND(T251*AD$5/1200,2)</f>
        <v>0.0</v>
      </c>
      <c r="AE252" s="31">
        <f>ROUND(U251*AE$5/1200,2)</f>
        <v>0.0</v>
      </c>
      <c r="AF252" s="31">
        <f>ROUND(V251*AF$5/1200,2)</f>
        <v>0.0</v>
      </c>
      <c r="AG252" s="31">
        <f>ROUND(W251*AG$5/1200,2)</f>
        <v>0.0</v>
      </c>
      <c r="AH252" s="31">
        <f>ROUND(X251*AH$5/1200,2)</f>
        <v>0.0</v>
      </c>
      <c r="AI252" s="31">
        <f>ROUND(Y251*AI$5/1200,2)</f>
        <v>0.0</v>
      </c>
      <c r="AJ252" s="31">
        <f>ROUND(Z251*AJ$5/1200,2)</f>
        <v>0.0</v>
      </c>
      <c r="AK252" s="31">
        <f>ROUND(AA251*AK$5/1200,2)</f>
        <v>0.0</v>
      </c>
      <c r="AL252" s="31">
        <f>MIN(AL$5,R251+AB252)</f>
        <v>0.0</v>
      </c>
      <c r="AM252" s="31">
        <f>MIN(AM$5,S251+AC252)</f>
        <v>0.0</v>
      </c>
      <c r="AN252" s="31">
        <f>MIN(AN$5,T251+AD252)</f>
        <v>0.0</v>
      </c>
      <c r="AO252" s="31">
        <f>MIN(AO$5,U251+AE252)</f>
        <v>0.0</v>
      </c>
      <c r="AP252" s="31">
        <f>MIN(AP$5,V251+AF252)</f>
        <v>0.0</v>
      </c>
      <c r="AQ252" s="31">
        <f>MIN(AQ$5,W251+AG252)</f>
        <v>0.0</v>
      </c>
      <c r="AR252" s="31">
        <f>MIN(AR$5,X251+AH252)</f>
        <v>0.0</v>
      </c>
      <c r="AS252" s="31">
        <f>MIN(AS$5,Y251+AI252)</f>
        <v>0.0</v>
      </c>
      <c r="AT252" s="31">
        <f>MIN(AT$5,Z251+AJ252)</f>
        <v>0.0</v>
      </c>
      <c r="AU252" s="31">
        <f>MIN(AU$5,AA251+AK252)</f>
        <v>0.0</v>
      </c>
    </row>
    <row r="253">
      <c r="A253" s="25" t="str">
        <f>IF(F252&gt;0.005,248,"")</f>
        <v/>
      </c>
      <c r="B253" s="33" t="str">
        <f>IF(A253="","",EDATE(Долги!$D$5,247))</f>
        <v/>
      </c>
      <c r="C253" s="31">
        <f>SUM(H253:Q253)</f>
        <v>0.0</v>
      </c>
      <c r="D253" s="31">
        <f>SUM(AB253:AK253)</f>
        <v>0.0</v>
      </c>
      <c r="E253" s="31">
        <f>C253-D253</f>
        <v>0.0</v>
      </c>
      <c r="F253" s="31">
        <f>SUM(R253:AA253)</f>
        <v>0.0</v>
      </c>
      <c r="G253" s="34" t="str">
        <f>IF(OR(A253="",$F$5&lt;=0),"",REPT("█",ROUND(20*F253/$F$5,0)))</f>
        <v/>
      </c>
      <c r="H253" s="31">
        <f>AL253+MIN(R252+AB253-AL253,MAX(0,ROUND(Долги!$D$19-SUM($AL253:$AU253),2)))</f>
        <v>0.0</v>
      </c>
      <c r="I253" s="31">
        <f>AM253+MIN(S252+AC253-AM253,MAX(0,ROUND(ROUND(Долги!$D$19-SUM($AL253:$AU253),2)-(SUM($H253:H253)-SUM($AL253:AL253)),2)))</f>
        <v>0.0</v>
      </c>
      <c r="J253" s="31">
        <f>AN253+MIN(T252+AD253-AN253,MAX(0,ROUND(ROUND(Долги!$D$19-SUM($AL253:$AU253),2)-(SUM($H253:I253)-SUM($AL253:AM253)),2)))</f>
        <v>0.0</v>
      </c>
      <c r="K253" s="31">
        <f>AO253+MIN(U252+AE253-AO253,MAX(0,ROUND(ROUND(Долги!$D$19-SUM($AL253:$AU253),2)-(SUM($H253:J253)-SUM($AL253:AN253)),2)))</f>
        <v>0.0</v>
      </c>
      <c r="L253" s="31">
        <f>AP253+MIN(V252+AF253-AP253,MAX(0,ROUND(ROUND(Долги!$D$19-SUM($AL253:$AU253),2)-(SUM($H253:K253)-SUM($AL253:AO253)),2)))</f>
        <v>0.0</v>
      </c>
      <c r="M253" s="31">
        <f>AQ253+MIN(W252+AG253-AQ253,MAX(0,ROUND(ROUND(Долги!$D$19-SUM($AL253:$AU253),2)-(SUM($H253:L253)-SUM($AL253:AP253)),2)))</f>
        <v>0.0</v>
      </c>
      <c r="N253" s="31">
        <f>AR253+MIN(X252+AH253-AR253,MAX(0,ROUND(ROUND(Долги!$D$19-SUM($AL253:$AU253),2)-(SUM($H253:M253)-SUM($AL253:AQ253)),2)))</f>
        <v>0.0</v>
      </c>
      <c r="O253" s="31">
        <f>AS253+MIN(Y252+AI253-AS253,MAX(0,ROUND(ROUND(Долги!$D$19-SUM($AL253:$AU253),2)-(SUM($H253:N253)-SUM($AL253:AR253)),2)))</f>
        <v>0.0</v>
      </c>
      <c r="P253" s="31">
        <f>AT253+MIN(Z252+AJ253-AT253,MAX(0,ROUND(ROUND(Долги!$D$19-SUM($AL253:$AU253),2)-(SUM($H253:O253)-SUM($AL253:AS253)),2)))</f>
        <v>0.0</v>
      </c>
      <c r="Q253" s="31">
        <f>AU253+MIN(AA252+AK253-AU253,MAX(0,ROUND(ROUND(Долги!$D$19-SUM($AL253:$AU253),2)-(SUM($H253:P253)-SUM($AL253:AT253)),2)))</f>
        <v>0.0</v>
      </c>
      <c r="R253" s="31">
        <f>IF(R252+AB253-H253&lt;=0.01,0,ROUND(R252+AB253-H253,2))</f>
        <v>0.0</v>
      </c>
      <c r="S253" s="31">
        <f>IF(S252+AC253-I253&lt;=0.01,0,ROUND(S252+AC253-I253,2))</f>
        <v>0.0</v>
      </c>
      <c r="T253" s="31">
        <f>IF(T252+AD253-J253&lt;=0.01,0,ROUND(T252+AD253-J253,2))</f>
        <v>0.0</v>
      </c>
      <c r="U253" s="31">
        <f>IF(U252+AE253-K253&lt;=0.01,0,ROUND(U252+AE253-K253,2))</f>
        <v>0.0</v>
      </c>
      <c r="V253" s="31">
        <f>IF(V252+AF253-L253&lt;=0.01,0,ROUND(V252+AF253-L253,2))</f>
        <v>0.0</v>
      </c>
      <c r="W253" s="31">
        <f>IF(W252+AG253-M253&lt;=0.01,0,ROUND(W252+AG253-M253,2))</f>
        <v>0.0</v>
      </c>
      <c r="X253" s="31">
        <f>IF(X252+AH253-N253&lt;=0.01,0,ROUND(X252+AH253-N253,2))</f>
        <v>0.0</v>
      </c>
      <c r="Y253" s="31">
        <f>IF(Y252+AI253-O253&lt;=0.01,0,ROUND(Y252+AI253-O253,2))</f>
        <v>0.0</v>
      </c>
      <c r="Z253" s="31">
        <f>IF(Z252+AJ253-P253&lt;=0.01,0,ROUND(Z252+AJ253-P253,2))</f>
        <v>0.0</v>
      </c>
      <c r="AA253" s="31">
        <f>IF(AA252+AK253-Q253&lt;=0.01,0,ROUND(AA252+AK253-Q253,2))</f>
        <v>0.0</v>
      </c>
      <c r="AB253" s="31">
        <f>ROUND(R252*AB$5/1200,2)</f>
        <v>0.0</v>
      </c>
      <c r="AC253" s="31">
        <f>ROUND(S252*AC$5/1200,2)</f>
        <v>0.0</v>
      </c>
      <c r="AD253" s="31">
        <f>ROUND(T252*AD$5/1200,2)</f>
        <v>0.0</v>
      </c>
      <c r="AE253" s="31">
        <f>ROUND(U252*AE$5/1200,2)</f>
        <v>0.0</v>
      </c>
      <c r="AF253" s="31">
        <f>ROUND(V252*AF$5/1200,2)</f>
        <v>0.0</v>
      </c>
      <c r="AG253" s="31">
        <f>ROUND(W252*AG$5/1200,2)</f>
        <v>0.0</v>
      </c>
      <c r="AH253" s="31">
        <f>ROUND(X252*AH$5/1200,2)</f>
        <v>0.0</v>
      </c>
      <c r="AI253" s="31">
        <f>ROUND(Y252*AI$5/1200,2)</f>
        <v>0.0</v>
      </c>
      <c r="AJ253" s="31">
        <f>ROUND(Z252*AJ$5/1200,2)</f>
        <v>0.0</v>
      </c>
      <c r="AK253" s="31">
        <f>ROUND(AA252*AK$5/1200,2)</f>
        <v>0.0</v>
      </c>
      <c r="AL253" s="31">
        <f>MIN(AL$5,R252+AB253)</f>
        <v>0.0</v>
      </c>
      <c r="AM253" s="31">
        <f>MIN(AM$5,S252+AC253)</f>
        <v>0.0</v>
      </c>
      <c r="AN253" s="31">
        <f>MIN(AN$5,T252+AD253)</f>
        <v>0.0</v>
      </c>
      <c r="AO253" s="31">
        <f>MIN(AO$5,U252+AE253)</f>
        <v>0.0</v>
      </c>
      <c r="AP253" s="31">
        <f>MIN(AP$5,V252+AF253)</f>
        <v>0.0</v>
      </c>
      <c r="AQ253" s="31">
        <f>MIN(AQ$5,W252+AG253)</f>
        <v>0.0</v>
      </c>
      <c r="AR253" s="31">
        <f>MIN(AR$5,X252+AH253)</f>
        <v>0.0</v>
      </c>
      <c r="AS253" s="31">
        <f>MIN(AS$5,Y252+AI253)</f>
        <v>0.0</v>
      </c>
      <c r="AT253" s="31">
        <f>MIN(AT$5,Z252+AJ253)</f>
        <v>0.0</v>
      </c>
      <c r="AU253" s="31">
        <f>MIN(AU$5,AA252+AK253)</f>
        <v>0.0</v>
      </c>
    </row>
    <row r="254">
      <c r="A254" s="25" t="str">
        <f>IF(F253&gt;0.005,249,"")</f>
        <v/>
      </c>
      <c r="B254" s="33" t="str">
        <f>IF(A254="","",EDATE(Долги!$D$5,248))</f>
        <v/>
      </c>
      <c r="C254" s="31">
        <f>SUM(H254:Q254)</f>
        <v>0.0</v>
      </c>
      <c r="D254" s="31">
        <f>SUM(AB254:AK254)</f>
        <v>0.0</v>
      </c>
      <c r="E254" s="31">
        <f>C254-D254</f>
        <v>0.0</v>
      </c>
      <c r="F254" s="31">
        <f>SUM(R254:AA254)</f>
        <v>0.0</v>
      </c>
      <c r="G254" s="34" t="str">
        <f>IF(OR(A254="",$F$5&lt;=0),"",REPT("█",ROUND(20*F254/$F$5,0)))</f>
        <v/>
      </c>
      <c r="H254" s="31">
        <f>AL254+MIN(R253+AB254-AL254,MAX(0,ROUND(Долги!$D$19-SUM($AL254:$AU254),2)))</f>
        <v>0.0</v>
      </c>
      <c r="I254" s="31">
        <f>AM254+MIN(S253+AC254-AM254,MAX(0,ROUND(ROUND(Долги!$D$19-SUM($AL254:$AU254),2)-(SUM($H254:H254)-SUM($AL254:AL254)),2)))</f>
        <v>0.0</v>
      </c>
      <c r="J254" s="31">
        <f>AN254+MIN(T253+AD254-AN254,MAX(0,ROUND(ROUND(Долги!$D$19-SUM($AL254:$AU254),2)-(SUM($H254:I254)-SUM($AL254:AM254)),2)))</f>
        <v>0.0</v>
      </c>
      <c r="K254" s="31">
        <f>AO254+MIN(U253+AE254-AO254,MAX(0,ROUND(ROUND(Долги!$D$19-SUM($AL254:$AU254),2)-(SUM($H254:J254)-SUM($AL254:AN254)),2)))</f>
        <v>0.0</v>
      </c>
      <c r="L254" s="31">
        <f>AP254+MIN(V253+AF254-AP254,MAX(0,ROUND(ROUND(Долги!$D$19-SUM($AL254:$AU254),2)-(SUM($H254:K254)-SUM($AL254:AO254)),2)))</f>
        <v>0.0</v>
      </c>
      <c r="M254" s="31">
        <f>AQ254+MIN(W253+AG254-AQ254,MAX(0,ROUND(ROUND(Долги!$D$19-SUM($AL254:$AU254),2)-(SUM($H254:L254)-SUM($AL254:AP254)),2)))</f>
        <v>0.0</v>
      </c>
      <c r="N254" s="31">
        <f>AR254+MIN(X253+AH254-AR254,MAX(0,ROUND(ROUND(Долги!$D$19-SUM($AL254:$AU254),2)-(SUM($H254:M254)-SUM($AL254:AQ254)),2)))</f>
        <v>0.0</v>
      </c>
      <c r="O254" s="31">
        <f>AS254+MIN(Y253+AI254-AS254,MAX(0,ROUND(ROUND(Долги!$D$19-SUM($AL254:$AU254),2)-(SUM($H254:N254)-SUM($AL254:AR254)),2)))</f>
        <v>0.0</v>
      </c>
      <c r="P254" s="31">
        <f>AT254+MIN(Z253+AJ254-AT254,MAX(0,ROUND(ROUND(Долги!$D$19-SUM($AL254:$AU254),2)-(SUM($H254:O254)-SUM($AL254:AS254)),2)))</f>
        <v>0.0</v>
      </c>
      <c r="Q254" s="31">
        <f>AU254+MIN(AA253+AK254-AU254,MAX(0,ROUND(ROUND(Долги!$D$19-SUM($AL254:$AU254),2)-(SUM($H254:P254)-SUM($AL254:AT254)),2)))</f>
        <v>0.0</v>
      </c>
      <c r="R254" s="31">
        <f>IF(R253+AB254-H254&lt;=0.01,0,ROUND(R253+AB254-H254,2))</f>
        <v>0.0</v>
      </c>
      <c r="S254" s="31">
        <f>IF(S253+AC254-I254&lt;=0.01,0,ROUND(S253+AC254-I254,2))</f>
        <v>0.0</v>
      </c>
      <c r="T254" s="31">
        <f>IF(T253+AD254-J254&lt;=0.01,0,ROUND(T253+AD254-J254,2))</f>
        <v>0.0</v>
      </c>
      <c r="U254" s="31">
        <f>IF(U253+AE254-K254&lt;=0.01,0,ROUND(U253+AE254-K254,2))</f>
        <v>0.0</v>
      </c>
      <c r="V254" s="31">
        <f>IF(V253+AF254-L254&lt;=0.01,0,ROUND(V253+AF254-L254,2))</f>
        <v>0.0</v>
      </c>
      <c r="W254" s="31">
        <f>IF(W253+AG254-M254&lt;=0.01,0,ROUND(W253+AG254-M254,2))</f>
        <v>0.0</v>
      </c>
      <c r="X254" s="31">
        <f>IF(X253+AH254-N254&lt;=0.01,0,ROUND(X253+AH254-N254,2))</f>
        <v>0.0</v>
      </c>
      <c r="Y254" s="31">
        <f>IF(Y253+AI254-O254&lt;=0.01,0,ROUND(Y253+AI254-O254,2))</f>
        <v>0.0</v>
      </c>
      <c r="Z254" s="31">
        <f>IF(Z253+AJ254-P254&lt;=0.01,0,ROUND(Z253+AJ254-P254,2))</f>
        <v>0.0</v>
      </c>
      <c r="AA254" s="31">
        <f>IF(AA253+AK254-Q254&lt;=0.01,0,ROUND(AA253+AK254-Q254,2))</f>
        <v>0.0</v>
      </c>
      <c r="AB254" s="31">
        <f>ROUND(R253*AB$5/1200,2)</f>
        <v>0.0</v>
      </c>
      <c r="AC254" s="31">
        <f>ROUND(S253*AC$5/1200,2)</f>
        <v>0.0</v>
      </c>
      <c r="AD254" s="31">
        <f>ROUND(T253*AD$5/1200,2)</f>
        <v>0.0</v>
      </c>
      <c r="AE254" s="31">
        <f>ROUND(U253*AE$5/1200,2)</f>
        <v>0.0</v>
      </c>
      <c r="AF254" s="31">
        <f>ROUND(V253*AF$5/1200,2)</f>
        <v>0.0</v>
      </c>
      <c r="AG254" s="31">
        <f>ROUND(W253*AG$5/1200,2)</f>
        <v>0.0</v>
      </c>
      <c r="AH254" s="31">
        <f>ROUND(X253*AH$5/1200,2)</f>
        <v>0.0</v>
      </c>
      <c r="AI254" s="31">
        <f>ROUND(Y253*AI$5/1200,2)</f>
        <v>0.0</v>
      </c>
      <c r="AJ254" s="31">
        <f>ROUND(Z253*AJ$5/1200,2)</f>
        <v>0.0</v>
      </c>
      <c r="AK254" s="31">
        <f>ROUND(AA253*AK$5/1200,2)</f>
        <v>0.0</v>
      </c>
      <c r="AL254" s="31">
        <f>MIN(AL$5,R253+AB254)</f>
        <v>0.0</v>
      </c>
      <c r="AM254" s="31">
        <f>MIN(AM$5,S253+AC254)</f>
        <v>0.0</v>
      </c>
      <c r="AN254" s="31">
        <f>MIN(AN$5,T253+AD254)</f>
        <v>0.0</v>
      </c>
      <c r="AO254" s="31">
        <f>MIN(AO$5,U253+AE254)</f>
        <v>0.0</v>
      </c>
      <c r="AP254" s="31">
        <f>MIN(AP$5,V253+AF254)</f>
        <v>0.0</v>
      </c>
      <c r="AQ254" s="31">
        <f>MIN(AQ$5,W253+AG254)</f>
        <v>0.0</v>
      </c>
      <c r="AR254" s="31">
        <f>MIN(AR$5,X253+AH254)</f>
        <v>0.0</v>
      </c>
      <c r="AS254" s="31">
        <f>MIN(AS$5,Y253+AI254)</f>
        <v>0.0</v>
      </c>
      <c r="AT254" s="31">
        <f>MIN(AT$5,Z253+AJ254)</f>
        <v>0.0</v>
      </c>
      <c r="AU254" s="31">
        <f>MIN(AU$5,AA253+AK254)</f>
        <v>0.0</v>
      </c>
    </row>
    <row r="255">
      <c r="A255" s="25" t="str">
        <f>IF(F254&gt;0.005,250,"")</f>
        <v/>
      </c>
      <c r="B255" s="33" t="str">
        <f>IF(A255="","",EDATE(Долги!$D$5,249))</f>
        <v/>
      </c>
      <c r="C255" s="31">
        <f>SUM(H255:Q255)</f>
        <v>0.0</v>
      </c>
      <c r="D255" s="31">
        <f>SUM(AB255:AK255)</f>
        <v>0.0</v>
      </c>
      <c r="E255" s="31">
        <f>C255-D255</f>
        <v>0.0</v>
      </c>
      <c r="F255" s="31">
        <f>SUM(R255:AA255)</f>
        <v>0.0</v>
      </c>
      <c r="G255" s="34" t="str">
        <f>IF(OR(A255="",$F$5&lt;=0),"",REPT("█",ROUND(20*F255/$F$5,0)))</f>
        <v/>
      </c>
      <c r="H255" s="31">
        <f>AL255+MIN(R254+AB255-AL255,MAX(0,ROUND(Долги!$D$19-SUM($AL255:$AU255),2)))</f>
        <v>0.0</v>
      </c>
      <c r="I255" s="31">
        <f>AM255+MIN(S254+AC255-AM255,MAX(0,ROUND(ROUND(Долги!$D$19-SUM($AL255:$AU255),2)-(SUM($H255:H255)-SUM($AL255:AL255)),2)))</f>
        <v>0.0</v>
      </c>
      <c r="J255" s="31">
        <f>AN255+MIN(T254+AD255-AN255,MAX(0,ROUND(ROUND(Долги!$D$19-SUM($AL255:$AU255),2)-(SUM($H255:I255)-SUM($AL255:AM255)),2)))</f>
        <v>0.0</v>
      </c>
      <c r="K255" s="31">
        <f>AO255+MIN(U254+AE255-AO255,MAX(0,ROUND(ROUND(Долги!$D$19-SUM($AL255:$AU255),2)-(SUM($H255:J255)-SUM($AL255:AN255)),2)))</f>
        <v>0.0</v>
      </c>
      <c r="L255" s="31">
        <f>AP255+MIN(V254+AF255-AP255,MAX(0,ROUND(ROUND(Долги!$D$19-SUM($AL255:$AU255),2)-(SUM($H255:K255)-SUM($AL255:AO255)),2)))</f>
        <v>0.0</v>
      </c>
      <c r="M255" s="31">
        <f>AQ255+MIN(W254+AG255-AQ255,MAX(0,ROUND(ROUND(Долги!$D$19-SUM($AL255:$AU255),2)-(SUM($H255:L255)-SUM($AL255:AP255)),2)))</f>
        <v>0.0</v>
      </c>
      <c r="N255" s="31">
        <f>AR255+MIN(X254+AH255-AR255,MAX(0,ROUND(ROUND(Долги!$D$19-SUM($AL255:$AU255),2)-(SUM($H255:M255)-SUM($AL255:AQ255)),2)))</f>
        <v>0.0</v>
      </c>
      <c r="O255" s="31">
        <f>AS255+MIN(Y254+AI255-AS255,MAX(0,ROUND(ROUND(Долги!$D$19-SUM($AL255:$AU255),2)-(SUM($H255:N255)-SUM($AL255:AR255)),2)))</f>
        <v>0.0</v>
      </c>
      <c r="P255" s="31">
        <f>AT255+MIN(Z254+AJ255-AT255,MAX(0,ROUND(ROUND(Долги!$D$19-SUM($AL255:$AU255),2)-(SUM($H255:O255)-SUM($AL255:AS255)),2)))</f>
        <v>0.0</v>
      </c>
      <c r="Q255" s="31">
        <f>AU255+MIN(AA254+AK255-AU255,MAX(0,ROUND(ROUND(Долги!$D$19-SUM($AL255:$AU255),2)-(SUM($H255:P255)-SUM($AL255:AT255)),2)))</f>
        <v>0.0</v>
      </c>
      <c r="R255" s="31">
        <f>IF(R254+AB255-H255&lt;=0.01,0,ROUND(R254+AB255-H255,2))</f>
        <v>0.0</v>
      </c>
      <c r="S255" s="31">
        <f>IF(S254+AC255-I255&lt;=0.01,0,ROUND(S254+AC255-I255,2))</f>
        <v>0.0</v>
      </c>
      <c r="T255" s="31">
        <f>IF(T254+AD255-J255&lt;=0.01,0,ROUND(T254+AD255-J255,2))</f>
        <v>0.0</v>
      </c>
      <c r="U255" s="31">
        <f>IF(U254+AE255-K255&lt;=0.01,0,ROUND(U254+AE255-K255,2))</f>
        <v>0.0</v>
      </c>
      <c r="V255" s="31">
        <f>IF(V254+AF255-L255&lt;=0.01,0,ROUND(V254+AF255-L255,2))</f>
        <v>0.0</v>
      </c>
      <c r="W255" s="31">
        <f>IF(W254+AG255-M255&lt;=0.01,0,ROUND(W254+AG255-M255,2))</f>
        <v>0.0</v>
      </c>
      <c r="X255" s="31">
        <f>IF(X254+AH255-N255&lt;=0.01,0,ROUND(X254+AH255-N255,2))</f>
        <v>0.0</v>
      </c>
      <c r="Y255" s="31">
        <f>IF(Y254+AI255-O255&lt;=0.01,0,ROUND(Y254+AI255-O255,2))</f>
        <v>0.0</v>
      </c>
      <c r="Z255" s="31">
        <f>IF(Z254+AJ255-P255&lt;=0.01,0,ROUND(Z254+AJ255-P255,2))</f>
        <v>0.0</v>
      </c>
      <c r="AA255" s="31">
        <f>IF(AA254+AK255-Q255&lt;=0.01,0,ROUND(AA254+AK255-Q255,2))</f>
        <v>0.0</v>
      </c>
      <c r="AB255" s="31">
        <f>ROUND(R254*AB$5/1200,2)</f>
        <v>0.0</v>
      </c>
      <c r="AC255" s="31">
        <f>ROUND(S254*AC$5/1200,2)</f>
        <v>0.0</v>
      </c>
      <c r="AD255" s="31">
        <f>ROUND(T254*AD$5/1200,2)</f>
        <v>0.0</v>
      </c>
      <c r="AE255" s="31">
        <f>ROUND(U254*AE$5/1200,2)</f>
        <v>0.0</v>
      </c>
      <c r="AF255" s="31">
        <f>ROUND(V254*AF$5/1200,2)</f>
        <v>0.0</v>
      </c>
      <c r="AG255" s="31">
        <f>ROUND(W254*AG$5/1200,2)</f>
        <v>0.0</v>
      </c>
      <c r="AH255" s="31">
        <f>ROUND(X254*AH$5/1200,2)</f>
        <v>0.0</v>
      </c>
      <c r="AI255" s="31">
        <f>ROUND(Y254*AI$5/1200,2)</f>
        <v>0.0</v>
      </c>
      <c r="AJ255" s="31">
        <f>ROUND(Z254*AJ$5/1200,2)</f>
        <v>0.0</v>
      </c>
      <c r="AK255" s="31">
        <f>ROUND(AA254*AK$5/1200,2)</f>
        <v>0.0</v>
      </c>
      <c r="AL255" s="31">
        <f>MIN(AL$5,R254+AB255)</f>
        <v>0.0</v>
      </c>
      <c r="AM255" s="31">
        <f>MIN(AM$5,S254+AC255)</f>
        <v>0.0</v>
      </c>
      <c r="AN255" s="31">
        <f>MIN(AN$5,T254+AD255)</f>
        <v>0.0</v>
      </c>
      <c r="AO255" s="31">
        <f>MIN(AO$5,U254+AE255)</f>
        <v>0.0</v>
      </c>
      <c r="AP255" s="31">
        <f>MIN(AP$5,V254+AF255)</f>
        <v>0.0</v>
      </c>
      <c r="AQ255" s="31">
        <f>MIN(AQ$5,W254+AG255)</f>
        <v>0.0</v>
      </c>
      <c r="AR255" s="31">
        <f>MIN(AR$5,X254+AH255)</f>
        <v>0.0</v>
      </c>
      <c r="AS255" s="31">
        <f>MIN(AS$5,Y254+AI255)</f>
        <v>0.0</v>
      </c>
      <c r="AT255" s="31">
        <f>MIN(AT$5,Z254+AJ255)</f>
        <v>0.0</v>
      </c>
      <c r="AU255" s="31">
        <f>MIN(AU$5,AA254+AK255)</f>
        <v>0.0</v>
      </c>
    </row>
    <row r="256">
      <c r="A256" s="25" t="str">
        <f>IF(F255&gt;0.005,251,"")</f>
        <v/>
      </c>
      <c r="B256" s="33" t="str">
        <f>IF(A256="","",EDATE(Долги!$D$5,250))</f>
        <v/>
      </c>
      <c r="C256" s="31">
        <f>SUM(H256:Q256)</f>
        <v>0.0</v>
      </c>
      <c r="D256" s="31">
        <f>SUM(AB256:AK256)</f>
        <v>0.0</v>
      </c>
      <c r="E256" s="31">
        <f>C256-D256</f>
        <v>0.0</v>
      </c>
      <c r="F256" s="31">
        <f>SUM(R256:AA256)</f>
        <v>0.0</v>
      </c>
      <c r="G256" s="34" t="str">
        <f>IF(OR(A256="",$F$5&lt;=0),"",REPT("█",ROUND(20*F256/$F$5,0)))</f>
        <v/>
      </c>
      <c r="H256" s="31">
        <f>AL256+MIN(R255+AB256-AL256,MAX(0,ROUND(Долги!$D$19-SUM($AL256:$AU256),2)))</f>
        <v>0.0</v>
      </c>
      <c r="I256" s="31">
        <f>AM256+MIN(S255+AC256-AM256,MAX(0,ROUND(ROUND(Долги!$D$19-SUM($AL256:$AU256),2)-(SUM($H256:H256)-SUM($AL256:AL256)),2)))</f>
        <v>0.0</v>
      </c>
      <c r="J256" s="31">
        <f>AN256+MIN(T255+AD256-AN256,MAX(0,ROUND(ROUND(Долги!$D$19-SUM($AL256:$AU256),2)-(SUM($H256:I256)-SUM($AL256:AM256)),2)))</f>
        <v>0.0</v>
      </c>
      <c r="K256" s="31">
        <f>AO256+MIN(U255+AE256-AO256,MAX(0,ROUND(ROUND(Долги!$D$19-SUM($AL256:$AU256),2)-(SUM($H256:J256)-SUM($AL256:AN256)),2)))</f>
        <v>0.0</v>
      </c>
      <c r="L256" s="31">
        <f>AP256+MIN(V255+AF256-AP256,MAX(0,ROUND(ROUND(Долги!$D$19-SUM($AL256:$AU256),2)-(SUM($H256:K256)-SUM($AL256:AO256)),2)))</f>
        <v>0.0</v>
      </c>
      <c r="M256" s="31">
        <f>AQ256+MIN(W255+AG256-AQ256,MAX(0,ROUND(ROUND(Долги!$D$19-SUM($AL256:$AU256),2)-(SUM($H256:L256)-SUM($AL256:AP256)),2)))</f>
        <v>0.0</v>
      </c>
      <c r="N256" s="31">
        <f>AR256+MIN(X255+AH256-AR256,MAX(0,ROUND(ROUND(Долги!$D$19-SUM($AL256:$AU256),2)-(SUM($H256:M256)-SUM($AL256:AQ256)),2)))</f>
        <v>0.0</v>
      </c>
      <c r="O256" s="31">
        <f>AS256+MIN(Y255+AI256-AS256,MAX(0,ROUND(ROUND(Долги!$D$19-SUM($AL256:$AU256),2)-(SUM($H256:N256)-SUM($AL256:AR256)),2)))</f>
        <v>0.0</v>
      </c>
      <c r="P256" s="31">
        <f>AT256+MIN(Z255+AJ256-AT256,MAX(0,ROUND(ROUND(Долги!$D$19-SUM($AL256:$AU256),2)-(SUM($H256:O256)-SUM($AL256:AS256)),2)))</f>
        <v>0.0</v>
      </c>
      <c r="Q256" s="31">
        <f>AU256+MIN(AA255+AK256-AU256,MAX(0,ROUND(ROUND(Долги!$D$19-SUM($AL256:$AU256),2)-(SUM($H256:P256)-SUM($AL256:AT256)),2)))</f>
        <v>0.0</v>
      </c>
      <c r="R256" s="31">
        <f>IF(R255+AB256-H256&lt;=0.01,0,ROUND(R255+AB256-H256,2))</f>
        <v>0.0</v>
      </c>
      <c r="S256" s="31">
        <f>IF(S255+AC256-I256&lt;=0.01,0,ROUND(S255+AC256-I256,2))</f>
        <v>0.0</v>
      </c>
      <c r="T256" s="31">
        <f>IF(T255+AD256-J256&lt;=0.01,0,ROUND(T255+AD256-J256,2))</f>
        <v>0.0</v>
      </c>
      <c r="U256" s="31">
        <f>IF(U255+AE256-K256&lt;=0.01,0,ROUND(U255+AE256-K256,2))</f>
        <v>0.0</v>
      </c>
      <c r="V256" s="31">
        <f>IF(V255+AF256-L256&lt;=0.01,0,ROUND(V255+AF256-L256,2))</f>
        <v>0.0</v>
      </c>
      <c r="W256" s="31">
        <f>IF(W255+AG256-M256&lt;=0.01,0,ROUND(W255+AG256-M256,2))</f>
        <v>0.0</v>
      </c>
      <c r="X256" s="31">
        <f>IF(X255+AH256-N256&lt;=0.01,0,ROUND(X255+AH256-N256,2))</f>
        <v>0.0</v>
      </c>
      <c r="Y256" s="31">
        <f>IF(Y255+AI256-O256&lt;=0.01,0,ROUND(Y255+AI256-O256,2))</f>
        <v>0.0</v>
      </c>
      <c r="Z256" s="31">
        <f>IF(Z255+AJ256-P256&lt;=0.01,0,ROUND(Z255+AJ256-P256,2))</f>
        <v>0.0</v>
      </c>
      <c r="AA256" s="31">
        <f>IF(AA255+AK256-Q256&lt;=0.01,0,ROUND(AA255+AK256-Q256,2))</f>
        <v>0.0</v>
      </c>
      <c r="AB256" s="31">
        <f>ROUND(R255*AB$5/1200,2)</f>
        <v>0.0</v>
      </c>
      <c r="AC256" s="31">
        <f>ROUND(S255*AC$5/1200,2)</f>
        <v>0.0</v>
      </c>
      <c r="AD256" s="31">
        <f>ROUND(T255*AD$5/1200,2)</f>
        <v>0.0</v>
      </c>
      <c r="AE256" s="31">
        <f>ROUND(U255*AE$5/1200,2)</f>
        <v>0.0</v>
      </c>
      <c r="AF256" s="31">
        <f>ROUND(V255*AF$5/1200,2)</f>
        <v>0.0</v>
      </c>
      <c r="AG256" s="31">
        <f>ROUND(W255*AG$5/1200,2)</f>
        <v>0.0</v>
      </c>
      <c r="AH256" s="31">
        <f>ROUND(X255*AH$5/1200,2)</f>
        <v>0.0</v>
      </c>
      <c r="AI256" s="31">
        <f>ROUND(Y255*AI$5/1200,2)</f>
        <v>0.0</v>
      </c>
      <c r="AJ256" s="31">
        <f>ROUND(Z255*AJ$5/1200,2)</f>
        <v>0.0</v>
      </c>
      <c r="AK256" s="31">
        <f>ROUND(AA255*AK$5/1200,2)</f>
        <v>0.0</v>
      </c>
      <c r="AL256" s="31">
        <f>MIN(AL$5,R255+AB256)</f>
        <v>0.0</v>
      </c>
      <c r="AM256" s="31">
        <f>MIN(AM$5,S255+AC256)</f>
        <v>0.0</v>
      </c>
      <c r="AN256" s="31">
        <f>MIN(AN$5,T255+AD256)</f>
        <v>0.0</v>
      </c>
      <c r="AO256" s="31">
        <f>MIN(AO$5,U255+AE256)</f>
        <v>0.0</v>
      </c>
      <c r="AP256" s="31">
        <f>MIN(AP$5,V255+AF256)</f>
        <v>0.0</v>
      </c>
      <c r="AQ256" s="31">
        <f>MIN(AQ$5,W255+AG256)</f>
        <v>0.0</v>
      </c>
      <c r="AR256" s="31">
        <f>MIN(AR$5,X255+AH256)</f>
        <v>0.0</v>
      </c>
      <c r="AS256" s="31">
        <f>MIN(AS$5,Y255+AI256)</f>
        <v>0.0</v>
      </c>
      <c r="AT256" s="31">
        <f>MIN(AT$5,Z255+AJ256)</f>
        <v>0.0</v>
      </c>
      <c r="AU256" s="31">
        <f>MIN(AU$5,AA255+AK256)</f>
        <v>0.0</v>
      </c>
    </row>
    <row r="257">
      <c r="A257" s="25" t="str">
        <f>IF(F256&gt;0.005,252,"")</f>
        <v/>
      </c>
      <c r="B257" s="33" t="str">
        <f>IF(A257="","",EDATE(Долги!$D$5,251))</f>
        <v/>
      </c>
      <c r="C257" s="31">
        <f>SUM(H257:Q257)</f>
        <v>0.0</v>
      </c>
      <c r="D257" s="31">
        <f>SUM(AB257:AK257)</f>
        <v>0.0</v>
      </c>
      <c r="E257" s="31">
        <f>C257-D257</f>
        <v>0.0</v>
      </c>
      <c r="F257" s="31">
        <f>SUM(R257:AA257)</f>
        <v>0.0</v>
      </c>
      <c r="G257" s="34" t="str">
        <f>IF(OR(A257="",$F$5&lt;=0),"",REPT("█",ROUND(20*F257/$F$5,0)))</f>
        <v/>
      </c>
      <c r="H257" s="31">
        <f>AL257+MIN(R256+AB257-AL257,MAX(0,ROUND(Долги!$D$19-SUM($AL257:$AU257),2)))</f>
        <v>0.0</v>
      </c>
      <c r="I257" s="31">
        <f>AM257+MIN(S256+AC257-AM257,MAX(0,ROUND(ROUND(Долги!$D$19-SUM($AL257:$AU257),2)-(SUM($H257:H257)-SUM($AL257:AL257)),2)))</f>
        <v>0.0</v>
      </c>
      <c r="J257" s="31">
        <f>AN257+MIN(T256+AD257-AN257,MAX(0,ROUND(ROUND(Долги!$D$19-SUM($AL257:$AU257),2)-(SUM($H257:I257)-SUM($AL257:AM257)),2)))</f>
        <v>0.0</v>
      </c>
      <c r="K257" s="31">
        <f>AO257+MIN(U256+AE257-AO257,MAX(0,ROUND(ROUND(Долги!$D$19-SUM($AL257:$AU257),2)-(SUM($H257:J257)-SUM($AL257:AN257)),2)))</f>
        <v>0.0</v>
      </c>
      <c r="L257" s="31">
        <f>AP257+MIN(V256+AF257-AP257,MAX(0,ROUND(ROUND(Долги!$D$19-SUM($AL257:$AU257),2)-(SUM($H257:K257)-SUM($AL257:AO257)),2)))</f>
        <v>0.0</v>
      </c>
      <c r="M257" s="31">
        <f>AQ257+MIN(W256+AG257-AQ257,MAX(0,ROUND(ROUND(Долги!$D$19-SUM($AL257:$AU257),2)-(SUM($H257:L257)-SUM($AL257:AP257)),2)))</f>
        <v>0.0</v>
      </c>
      <c r="N257" s="31">
        <f>AR257+MIN(X256+AH257-AR257,MAX(0,ROUND(ROUND(Долги!$D$19-SUM($AL257:$AU257),2)-(SUM($H257:M257)-SUM($AL257:AQ257)),2)))</f>
        <v>0.0</v>
      </c>
      <c r="O257" s="31">
        <f>AS257+MIN(Y256+AI257-AS257,MAX(0,ROUND(ROUND(Долги!$D$19-SUM($AL257:$AU257),2)-(SUM($H257:N257)-SUM($AL257:AR257)),2)))</f>
        <v>0.0</v>
      </c>
      <c r="P257" s="31">
        <f>AT257+MIN(Z256+AJ257-AT257,MAX(0,ROUND(ROUND(Долги!$D$19-SUM($AL257:$AU257),2)-(SUM($H257:O257)-SUM($AL257:AS257)),2)))</f>
        <v>0.0</v>
      </c>
      <c r="Q257" s="31">
        <f>AU257+MIN(AA256+AK257-AU257,MAX(0,ROUND(ROUND(Долги!$D$19-SUM($AL257:$AU257),2)-(SUM($H257:P257)-SUM($AL257:AT257)),2)))</f>
        <v>0.0</v>
      </c>
      <c r="R257" s="31">
        <f>IF(R256+AB257-H257&lt;=0.01,0,ROUND(R256+AB257-H257,2))</f>
        <v>0.0</v>
      </c>
      <c r="S257" s="31">
        <f>IF(S256+AC257-I257&lt;=0.01,0,ROUND(S256+AC257-I257,2))</f>
        <v>0.0</v>
      </c>
      <c r="T257" s="31">
        <f>IF(T256+AD257-J257&lt;=0.01,0,ROUND(T256+AD257-J257,2))</f>
        <v>0.0</v>
      </c>
      <c r="U257" s="31">
        <f>IF(U256+AE257-K257&lt;=0.01,0,ROUND(U256+AE257-K257,2))</f>
        <v>0.0</v>
      </c>
      <c r="V257" s="31">
        <f>IF(V256+AF257-L257&lt;=0.01,0,ROUND(V256+AF257-L257,2))</f>
        <v>0.0</v>
      </c>
      <c r="W257" s="31">
        <f>IF(W256+AG257-M257&lt;=0.01,0,ROUND(W256+AG257-M257,2))</f>
        <v>0.0</v>
      </c>
      <c r="X257" s="31">
        <f>IF(X256+AH257-N257&lt;=0.01,0,ROUND(X256+AH257-N257,2))</f>
        <v>0.0</v>
      </c>
      <c r="Y257" s="31">
        <f>IF(Y256+AI257-O257&lt;=0.01,0,ROUND(Y256+AI257-O257,2))</f>
        <v>0.0</v>
      </c>
      <c r="Z257" s="31">
        <f>IF(Z256+AJ257-P257&lt;=0.01,0,ROUND(Z256+AJ257-P257,2))</f>
        <v>0.0</v>
      </c>
      <c r="AA257" s="31">
        <f>IF(AA256+AK257-Q257&lt;=0.01,0,ROUND(AA256+AK257-Q257,2))</f>
        <v>0.0</v>
      </c>
      <c r="AB257" s="31">
        <f>ROUND(R256*AB$5/1200,2)</f>
        <v>0.0</v>
      </c>
      <c r="AC257" s="31">
        <f>ROUND(S256*AC$5/1200,2)</f>
        <v>0.0</v>
      </c>
      <c r="AD257" s="31">
        <f>ROUND(T256*AD$5/1200,2)</f>
        <v>0.0</v>
      </c>
      <c r="AE257" s="31">
        <f>ROUND(U256*AE$5/1200,2)</f>
        <v>0.0</v>
      </c>
      <c r="AF257" s="31">
        <f>ROUND(V256*AF$5/1200,2)</f>
        <v>0.0</v>
      </c>
      <c r="AG257" s="31">
        <f>ROUND(W256*AG$5/1200,2)</f>
        <v>0.0</v>
      </c>
      <c r="AH257" s="31">
        <f>ROUND(X256*AH$5/1200,2)</f>
        <v>0.0</v>
      </c>
      <c r="AI257" s="31">
        <f>ROUND(Y256*AI$5/1200,2)</f>
        <v>0.0</v>
      </c>
      <c r="AJ257" s="31">
        <f>ROUND(Z256*AJ$5/1200,2)</f>
        <v>0.0</v>
      </c>
      <c r="AK257" s="31">
        <f>ROUND(AA256*AK$5/1200,2)</f>
        <v>0.0</v>
      </c>
      <c r="AL257" s="31">
        <f>MIN(AL$5,R256+AB257)</f>
        <v>0.0</v>
      </c>
      <c r="AM257" s="31">
        <f>MIN(AM$5,S256+AC257)</f>
        <v>0.0</v>
      </c>
      <c r="AN257" s="31">
        <f>MIN(AN$5,T256+AD257)</f>
        <v>0.0</v>
      </c>
      <c r="AO257" s="31">
        <f>MIN(AO$5,U256+AE257)</f>
        <v>0.0</v>
      </c>
      <c r="AP257" s="31">
        <f>MIN(AP$5,V256+AF257)</f>
        <v>0.0</v>
      </c>
      <c r="AQ257" s="31">
        <f>MIN(AQ$5,W256+AG257)</f>
        <v>0.0</v>
      </c>
      <c r="AR257" s="31">
        <f>MIN(AR$5,X256+AH257)</f>
        <v>0.0</v>
      </c>
      <c r="AS257" s="31">
        <f>MIN(AS$5,Y256+AI257)</f>
        <v>0.0</v>
      </c>
      <c r="AT257" s="31">
        <f>MIN(AT$5,Z256+AJ257)</f>
        <v>0.0</v>
      </c>
      <c r="AU257" s="31">
        <f>MIN(AU$5,AA256+AK257)</f>
        <v>0.0</v>
      </c>
    </row>
    <row r="258">
      <c r="A258" s="25" t="str">
        <f>IF(F257&gt;0.005,253,"")</f>
        <v/>
      </c>
      <c r="B258" s="33" t="str">
        <f>IF(A258="","",EDATE(Долги!$D$5,252))</f>
        <v/>
      </c>
      <c r="C258" s="31">
        <f>SUM(H258:Q258)</f>
        <v>0.0</v>
      </c>
      <c r="D258" s="31">
        <f>SUM(AB258:AK258)</f>
        <v>0.0</v>
      </c>
      <c r="E258" s="31">
        <f>C258-D258</f>
        <v>0.0</v>
      </c>
      <c r="F258" s="31">
        <f>SUM(R258:AA258)</f>
        <v>0.0</v>
      </c>
      <c r="G258" s="34" t="str">
        <f>IF(OR(A258="",$F$5&lt;=0),"",REPT("█",ROUND(20*F258/$F$5,0)))</f>
        <v/>
      </c>
      <c r="H258" s="31">
        <f>AL258+MIN(R257+AB258-AL258,MAX(0,ROUND(Долги!$D$19-SUM($AL258:$AU258),2)))</f>
        <v>0.0</v>
      </c>
      <c r="I258" s="31">
        <f>AM258+MIN(S257+AC258-AM258,MAX(0,ROUND(ROUND(Долги!$D$19-SUM($AL258:$AU258),2)-(SUM($H258:H258)-SUM($AL258:AL258)),2)))</f>
        <v>0.0</v>
      </c>
      <c r="J258" s="31">
        <f>AN258+MIN(T257+AD258-AN258,MAX(0,ROUND(ROUND(Долги!$D$19-SUM($AL258:$AU258),2)-(SUM($H258:I258)-SUM($AL258:AM258)),2)))</f>
        <v>0.0</v>
      </c>
      <c r="K258" s="31">
        <f>AO258+MIN(U257+AE258-AO258,MAX(0,ROUND(ROUND(Долги!$D$19-SUM($AL258:$AU258),2)-(SUM($H258:J258)-SUM($AL258:AN258)),2)))</f>
        <v>0.0</v>
      </c>
      <c r="L258" s="31">
        <f>AP258+MIN(V257+AF258-AP258,MAX(0,ROUND(ROUND(Долги!$D$19-SUM($AL258:$AU258),2)-(SUM($H258:K258)-SUM($AL258:AO258)),2)))</f>
        <v>0.0</v>
      </c>
      <c r="M258" s="31">
        <f>AQ258+MIN(W257+AG258-AQ258,MAX(0,ROUND(ROUND(Долги!$D$19-SUM($AL258:$AU258),2)-(SUM($H258:L258)-SUM($AL258:AP258)),2)))</f>
        <v>0.0</v>
      </c>
      <c r="N258" s="31">
        <f>AR258+MIN(X257+AH258-AR258,MAX(0,ROUND(ROUND(Долги!$D$19-SUM($AL258:$AU258),2)-(SUM($H258:M258)-SUM($AL258:AQ258)),2)))</f>
        <v>0.0</v>
      </c>
      <c r="O258" s="31">
        <f>AS258+MIN(Y257+AI258-AS258,MAX(0,ROUND(ROUND(Долги!$D$19-SUM($AL258:$AU258),2)-(SUM($H258:N258)-SUM($AL258:AR258)),2)))</f>
        <v>0.0</v>
      </c>
      <c r="P258" s="31">
        <f>AT258+MIN(Z257+AJ258-AT258,MAX(0,ROUND(ROUND(Долги!$D$19-SUM($AL258:$AU258),2)-(SUM($H258:O258)-SUM($AL258:AS258)),2)))</f>
        <v>0.0</v>
      </c>
      <c r="Q258" s="31">
        <f>AU258+MIN(AA257+AK258-AU258,MAX(0,ROUND(ROUND(Долги!$D$19-SUM($AL258:$AU258),2)-(SUM($H258:P258)-SUM($AL258:AT258)),2)))</f>
        <v>0.0</v>
      </c>
      <c r="R258" s="31">
        <f>IF(R257+AB258-H258&lt;=0.01,0,ROUND(R257+AB258-H258,2))</f>
        <v>0.0</v>
      </c>
      <c r="S258" s="31">
        <f>IF(S257+AC258-I258&lt;=0.01,0,ROUND(S257+AC258-I258,2))</f>
        <v>0.0</v>
      </c>
      <c r="T258" s="31">
        <f>IF(T257+AD258-J258&lt;=0.01,0,ROUND(T257+AD258-J258,2))</f>
        <v>0.0</v>
      </c>
      <c r="U258" s="31">
        <f>IF(U257+AE258-K258&lt;=0.01,0,ROUND(U257+AE258-K258,2))</f>
        <v>0.0</v>
      </c>
      <c r="V258" s="31">
        <f>IF(V257+AF258-L258&lt;=0.01,0,ROUND(V257+AF258-L258,2))</f>
        <v>0.0</v>
      </c>
      <c r="W258" s="31">
        <f>IF(W257+AG258-M258&lt;=0.01,0,ROUND(W257+AG258-M258,2))</f>
        <v>0.0</v>
      </c>
      <c r="X258" s="31">
        <f>IF(X257+AH258-N258&lt;=0.01,0,ROUND(X257+AH258-N258,2))</f>
        <v>0.0</v>
      </c>
      <c r="Y258" s="31">
        <f>IF(Y257+AI258-O258&lt;=0.01,0,ROUND(Y257+AI258-O258,2))</f>
        <v>0.0</v>
      </c>
      <c r="Z258" s="31">
        <f>IF(Z257+AJ258-P258&lt;=0.01,0,ROUND(Z257+AJ258-P258,2))</f>
        <v>0.0</v>
      </c>
      <c r="AA258" s="31">
        <f>IF(AA257+AK258-Q258&lt;=0.01,0,ROUND(AA257+AK258-Q258,2))</f>
        <v>0.0</v>
      </c>
      <c r="AB258" s="31">
        <f>ROUND(R257*AB$5/1200,2)</f>
        <v>0.0</v>
      </c>
      <c r="AC258" s="31">
        <f>ROUND(S257*AC$5/1200,2)</f>
        <v>0.0</v>
      </c>
      <c r="AD258" s="31">
        <f>ROUND(T257*AD$5/1200,2)</f>
        <v>0.0</v>
      </c>
      <c r="AE258" s="31">
        <f>ROUND(U257*AE$5/1200,2)</f>
        <v>0.0</v>
      </c>
      <c r="AF258" s="31">
        <f>ROUND(V257*AF$5/1200,2)</f>
        <v>0.0</v>
      </c>
      <c r="AG258" s="31">
        <f>ROUND(W257*AG$5/1200,2)</f>
        <v>0.0</v>
      </c>
      <c r="AH258" s="31">
        <f>ROUND(X257*AH$5/1200,2)</f>
        <v>0.0</v>
      </c>
      <c r="AI258" s="31">
        <f>ROUND(Y257*AI$5/1200,2)</f>
        <v>0.0</v>
      </c>
      <c r="AJ258" s="31">
        <f>ROUND(Z257*AJ$5/1200,2)</f>
        <v>0.0</v>
      </c>
      <c r="AK258" s="31">
        <f>ROUND(AA257*AK$5/1200,2)</f>
        <v>0.0</v>
      </c>
      <c r="AL258" s="31">
        <f>MIN(AL$5,R257+AB258)</f>
        <v>0.0</v>
      </c>
      <c r="AM258" s="31">
        <f>MIN(AM$5,S257+AC258)</f>
        <v>0.0</v>
      </c>
      <c r="AN258" s="31">
        <f>MIN(AN$5,T257+AD258)</f>
        <v>0.0</v>
      </c>
      <c r="AO258" s="31">
        <f>MIN(AO$5,U257+AE258)</f>
        <v>0.0</v>
      </c>
      <c r="AP258" s="31">
        <f>MIN(AP$5,V257+AF258)</f>
        <v>0.0</v>
      </c>
      <c r="AQ258" s="31">
        <f>MIN(AQ$5,W257+AG258)</f>
        <v>0.0</v>
      </c>
      <c r="AR258" s="31">
        <f>MIN(AR$5,X257+AH258)</f>
        <v>0.0</v>
      </c>
      <c r="AS258" s="31">
        <f>MIN(AS$5,Y257+AI258)</f>
        <v>0.0</v>
      </c>
      <c r="AT258" s="31">
        <f>MIN(AT$5,Z257+AJ258)</f>
        <v>0.0</v>
      </c>
      <c r="AU258" s="31">
        <f>MIN(AU$5,AA257+AK258)</f>
        <v>0.0</v>
      </c>
    </row>
    <row r="259">
      <c r="A259" s="25" t="str">
        <f>IF(F258&gt;0.005,254,"")</f>
        <v/>
      </c>
      <c r="B259" s="33" t="str">
        <f>IF(A259="","",EDATE(Долги!$D$5,253))</f>
        <v/>
      </c>
      <c r="C259" s="31">
        <f>SUM(H259:Q259)</f>
        <v>0.0</v>
      </c>
      <c r="D259" s="31">
        <f>SUM(AB259:AK259)</f>
        <v>0.0</v>
      </c>
      <c r="E259" s="31">
        <f>C259-D259</f>
        <v>0.0</v>
      </c>
      <c r="F259" s="31">
        <f>SUM(R259:AA259)</f>
        <v>0.0</v>
      </c>
      <c r="G259" s="34" t="str">
        <f>IF(OR(A259="",$F$5&lt;=0),"",REPT("█",ROUND(20*F259/$F$5,0)))</f>
        <v/>
      </c>
      <c r="H259" s="31">
        <f>AL259+MIN(R258+AB259-AL259,MAX(0,ROUND(Долги!$D$19-SUM($AL259:$AU259),2)))</f>
        <v>0.0</v>
      </c>
      <c r="I259" s="31">
        <f>AM259+MIN(S258+AC259-AM259,MAX(0,ROUND(ROUND(Долги!$D$19-SUM($AL259:$AU259),2)-(SUM($H259:H259)-SUM($AL259:AL259)),2)))</f>
        <v>0.0</v>
      </c>
      <c r="J259" s="31">
        <f>AN259+MIN(T258+AD259-AN259,MAX(0,ROUND(ROUND(Долги!$D$19-SUM($AL259:$AU259),2)-(SUM($H259:I259)-SUM($AL259:AM259)),2)))</f>
        <v>0.0</v>
      </c>
      <c r="K259" s="31">
        <f>AO259+MIN(U258+AE259-AO259,MAX(0,ROUND(ROUND(Долги!$D$19-SUM($AL259:$AU259),2)-(SUM($H259:J259)-SUM($AL259:AN259)),2)))</f>
        <v>0.0</v>
      </c>
      <c r="L259" s="31">
        <f>AP259+MIN(V258+AF259-AP259,MAX(0,ROUND(ROUND(Долги!$D$19-SUM($AL259:$AU259),2)-(SUM($H259:K259)-SUM($AL259:AO259)),2)))</f>
        <v>0.0</v>
      </c>
      <c r="M259" s="31">
        <f>AQ259+MIN(W258+AG259-AQ259,MAX(0,ROUND(ROUND(Долги!$D$19-SUM($AL259:$AU259),2)-(SUM($H259:L259)-SUM($AL259:AP259)),2)))</f>
        <v>0.0</v>
      </c>
      <c r="N259" s="31">
        <f>AR259+MIN(X258+AH259-AR259,MAX(0,ROUND(ROUND(Долги!$D$19-SUM($AL259:$AU259),2)-(SUM($H259:M259)-SUM($AL259:AQ259)),2)))</f>
        <v>0.0</v>
      </c>
      <c r="O259" s="31">
        <f>AS259+MIN(Y258+AI259-AS259,MAX(0,ROUND(ROUND(Долги!$D$19-SUM($AL259:$AU259),2)-(SUM($H259:N259)-SUM($AL259:AR259)),2)))</f>
        <v>0.0</v>
      </c>
      <c r="P259" s="31">
        <f>AT259+MIN(Z258+AJ259-AT259,MAX(0,ROUND(ROUND(Долги!$D$19-SUM($AL259:$AU259),2)-(SUM($H259:O259)-SUM($AL259:AS259)),2)))</f>
        <v>0.0</v>
      </c>
      <c r="Q259" s="31">
        <f>AU259+MIN(AA258+AK259-AU259,MAX(0,ROUND(ROUND(Долги!$D$19-SUM($AL259:$AU259),2)-(SUM($H259:P259)-SUM($AL259:AT259)),2)))</f>
        <v>0.0</v>
      </c>
      <c r="R259" s="31">
        <f>IF(R258+AB259-H259&lt;=0.01,0,ROUND(R258+AB259-H259,2))</f>
        <v>0.0</v>
      </c>
      <c r="S259" s="31">
        <f>IF(S258+AC259-I259&lt;=0.01,0,ROUND(S258+AC259-I259,2))</f>
        <v>0.0</v>
      </c>
      <c r="T259" s="31">
        <f>IF(T258+AD259-J259&lt;=0.01,0,ROUND(T258+AD259-J259,2))</f>
        <v>0.0</v>
      </c>
      <c r="U259" s="31">
        <f>IF(U258+AE259-K259&lt;=0.01,0,ROUND(U258+AE259-K259,2))</f>
        <v>0.0</v>
      </c>
      <c r="V259" s="31">
        <f>IF(V258+AF259-L259&lt;=0.01,0,ROUND(V258+AF259-L259,2))</f>
        <v>0.0</v>
      </c>
      <c r="W259" s="31">
        <f>IF(W258+AG259-M259&lt;=0.01,0,ROUND(W258+AG259-M259,2))</f>
        <v>0.0</v>
      </c>
      <c r="X259" s="31">
        <f>IF(X258+AH259-N259&lt;=0.01,0,ROUND(X258+AH259-N259,2))</f>
        <v>0.0</v>
      </c>
      <c r="Y259" s="31">
        <f>IF(Y258+AI259-O259&lt;=0.01,0,ROUND(Y258+AI259-O259,2))</f>
        <v>0.0</v>
      </c>
      <c r="Z259" s="31">
        <f>IF(Z258+AJ259-P259&lt;=0.01,0,ROUND(Z258+AJ259-P259,2))</f>
        <v>0.0</v>
      </c>
      <c r="AA259" s="31">
        <f>IF(AA258+AK259-Q259&lt;=0.01,0,ROUND(AA258+AK259-Q259,2))</f>
        <v>0.0</v>
      </c>
      <c r="AB259" s="31">
        <f>ROUND(R258*AB$5/1200,2)</f>
        <v>0.0</v>
      </c>
      <c r="AC259" s="31">
        <f>ROUND(S258*AC$5/1200,2)</f>
        <v>0.0</v>
      </c>
      <c r="AD259" s="31">
        <f>ROUND(T258*AD$5/1200,2)</f>
        <v>0.0</v>
      </c>
      <c r="AE259" s="31">
        <f>ROUND(U258*AE$5/1200,2)</f>
        <v>0.0</v>
      </c>
      <c r="AF259" s="31">
        <f>ROUND(V258*AF$5/1200,2)</f>
        <v>0.0</v>
      </c>
      <c r="AG259" s="31">
        <f>ROUND(W258*AG$5/1200,2)</f>
        <v>0.0</v>
      </c>
      <c r="AH259" s="31">
        <f>ROUND(X258*AH$5/1200,2)</f>
        <v>0.0</v>
      </c>
      <c r="AI259" s="31">
        <f>ROUND(Y258*AI$5/1200,2)</f>
        <v>0.0</v>
      </c>
      <c r="AJ259" s="31">
        <f>ROUND(Z258*AJ$5/1200,2)</f>
        <v>0.0</v>
      </c>
      <c r="AK259" s="31">
        <f>ROUND(AA258*AK$5/1200,2)</f>
        <v>0.0</v>
      </c>
      <c r="AL259" s="31">
        <f>MIN(AL$5,R258+AB259)</f>
        <v>0.0</v>
      </c>
      <c r="AM259" s="31">
        <f>MIN(AM$5,S258+AC259)</f>
        <v>0.0</v>
      </c>
      <c r="AN259" s="31">
        <f>MIN(AN$5,T258+AD259)</f>
        <v>0.0</v>
      </c>
      <c r="AO259" s="31">
        <f>MIN(AO$5,U258+AE259)</f>
        <v>0.0</v>
      </c>
      <c r="AP259" s="31">
        <f>MIN(AP$5,V258+AF259)</f>
        <v>0.0</v>
      </c>
      <c r="AQ259" s="31">
        <f>MIN(AQ$5,W258+AG259)</f>
        <v>0.0</v>
      </c>
      <c r="AR259" s="31">
        <f>MIN(AR$5,X258+AH259)</f>
        <v>0.0</v>
      </c>
      <c r="AS259" s="31">
        <f>MIN(AS$5,Y258+AI259)</f>
        <v>0.0</v>
      </c>
      <c r="AT259" s="31">
        <f>MIN(AT$5,Z258+AJ259)</f>
        <v>0.0</v>
      </c>
      <c r="AU259" s="31">
        <f>MIN(AU$5,AA258+AK259)</f>
        <v>0.0</v>
      </c>
    </row>
    <row r="260">
      <c r="A260" s="25" t="str">
        <f>IF(F259&gt;0.005,255,"")</f>
        <v/>
      </c>
      <c r="B260" s="33" t="str">
        <f>IF(A260="","",EDATE(Долги!$D$5,254))</f>
        <v/>
      </c>
      <c r="C260" s="31">
        <f>SUM(H260:Q260)</f>
        <v>0.0</v>
      </c>
      <c r="D260" s="31">
        <f>SUM(AB260:AK260)</f>
        <v>0.0</v>
      </c>
      <c r="E260" s="31">
        <f>C260-D260</f>
        <v>0.0</v>
      </c>
      <c r="F260" s="31">
        <f>SUM(R260:AA260)</f>
        <v>0.0</v>
      </c>
      <c r="G260" s="34" t="str">
        <f>IF(OR(A260="",$F$5&lt;=0),"",REPT("█",ROUND(20*F260/$F$5,0)))</f>
        <v/>
      </c>
      <c r="H260" s="31">
        <f>AL260+MIN(R259+AB260-AL260,MAX(0,ROUND(Долги!$D$19-SUM($AL260:$AU260),2)))</f>
        <v>0.0</v>
      </c>
      <c r="I260" s="31">
        <f>AM260+MIN(S259+AC260-AM260,MAX(0,ROUND(ROUND(Долги!$D$19-SUM($AL260:$AU260),2)-(SUM($H260:H260)-SUM($AL260:AL260)),2)))</f>
        <v>0.0</v>
      </c>
      <c r="J260" s="31">
        <f>AN260+MIN(T259+AD260-AN260,MAX(0,ROUND(ROUND(Долги!$D$19-SUM($AL260:$AU260),2)-(SUM($H260:I260)-SUM($AL260:AM260)),2)))</f>
        <v>0.0</v>
      </c>
      <c r="K260" s="31">
        <f>AO260+MIN(U259+AE260-AO260,MAX(0,ROUND(ROUND(Долги!$D$19-SUM($AL260:$AU260),2)-(SUM($H260:J260)-SUM($AL260:AN260)),2)))</f>
        <v>0.0</v>
      </c>
      <c r="L260" s="31">
        <f>AP260+MIN(V259+AF260-AP260,MAX(0,ROUND(ROUND(Долги!$D$19-SUM($AL260:$AU260),2)-(SUM($H260:K260)-SUM($AL260:AO260)),2)))</f>
        <v>0.0</v>
      </c>
      <c r="M260" s="31">
        <f>AQ260+MIN(W259+AG260-AQ260,MAX(0,ROUND(ROUND(Долги!$D$19-SUM($AL260:$AU260),2)-(SUM($H260:L260)-SUM($AL260:AP260)),2)))</f>
        <v>0.0</v>
      </c>
      <c r="N260" s="31">
        <f>AR260+MIN(X259+AH260-AR260,MAX(0,ROUND(ROUND(Долги!$D$19-SUM($AL260:$AU260),2)-(SUM($H260:M260)-SUM($AL260:AQ260)),2)))</f>
        <v>0.0</v>
      </c>
      <c r="O260" s="31">
        <f>AS260+MIN(Y259+AI260-AS260,MAX(0,ROUND(ROUND(Долги!$D$19-SUM($AL260:$AU260),2)-(SUM($H260:N260)-SUM($AL260:AR260)),2)))</f>
        <v>0.0</v>
      </c>
      <c r="P260" s="31">
        <f>AT260+MIN(Z259+AJ260-AT260,MAX(0,ROUND(ROUND(Долги!$D$19-SUM($AL260:$AU260),2)-(SUM($H260:O260)-SUM($AL260:AS260)),2)))</f>
        <v>0.0</v>
      </c>
      <c r="Q260" s="31">
        <f>AU260+MIN(AA259+AK260-AU260,MAX(0,ROUND(ROUND(Долги!$D$19-SUM($AL260:$AU260),2)-(SUM($H260:P260)-SUM($AL260:AT260)),2)))</f>
        <v>0.0</v>
      </c>
      <c r="R260" s="31">
        <f>IF(R259+AB260-H260&lt;=0.01,0,ROUND(R259+AB260-H260,2))</f>
        <v>0.0</v>
      </c>
      <c r="S260" s="31">
        <f>IF(S259+AC260-I260&lt;=0.01,0,ROUND(S259+AC260-I260,2))</f>
        <v>0.0</v>
      </c>
      <c r="T260" s="31">
        <f>IF(T259+AD260-J260&lt;=0.01,0,ROUND(T259+AD260-J260,2))</f>
        <v>0.0</v>
      </c>
      <c r="U260" s="31">
        <f>IF(U259+AE260-K260&lt;=0.01,0,ROUND(U259+AE260-K260,2))</f>
        <v>0.0</v>
      </c>
      <c r="V260" s="31">
        <f>IF(V259+AF260-L260&lt;=0.01,0,ROUND(V259+AF260-L260,2))</f>
        <v>0.0</v>
      </c>
      <c r="W260" s="31">
        <f>IF(W259+AG260-M260&lt;=0.01,0,ROUND(W259+AG260-M260,2))</f>
        <v>0.0</v>
      </c>
      <c r="X260" s="31">
        <f>IF(X259+AH260-N260&lt;=0.01,0,ROUND(X259+AH260-N260,2))</f>
        <v>0.0</v>
      </c>
      <c r="Y260" s="31">
        <f>IF(Y259+AI260-O260&lt;=0.01,0,ROUND(Y259+AI260-O260,2))</f>
        <v>0.0</v>
      </c>
      <c r="Z260" s="31">
        <f>IF(Z259+AJ260-P260&lt;=0.01,0,ROUND(Z259+AJ260-P260,2))</f>
        <v>0.0</v>
      </c>
      <c r="AA260" s="31">
        <f>IF(AA259+AK260-Q260&lt;=0.01,0,ROUND(AA259+AK260-Q260,2))</f>
        <v>0.0</v>
      </c>
      <c r="AB260" s="31">
        <f>ROUND(R259*AB$5/1200,2)</f>
        <v>0.0</v>
      </c>
      <c r="AC260" s="31">
        <f>ROUND(S259*AC$5/1200,2)</f>
        <v>0.0</v>
      </c>
      <c r="AD260" s="31">
        <f>ROUND(T259*AD$5/1200,2)</f>
        <v>0.0</v>
      </c>
      <c r="AE260" s="31">
        <f>ROUND(U259*AE$5/1200,2)</f>
        <v>0.0</v>
      </c>
      <c r="AF260" s="31">
        <f>ROUND(V259*AF$5/1200,2)</f>
        <v>0.0</v>
      </c>
      <c r="AG260" s="31">
        <f>ROUND(W259*AG$5/1200,2)</f>
        <v>0.0</v>
      </c>
      <c r="AH260" s="31">
        <f>ROUND(X259*AH$5/1200,2)</f>
        <v>0.0</v>
      </c>
      <c r="AI260" s="31">
        <f>ROUND(Y259*AI$5/1200,2)</f>
        <v>0.0</v>
      </c>
      <c r="AJ260" s="31">
        <f>ROUND(Z259*AJ$5/1200,2)</f>
        <v>0.0</v>
      </c>
      <c r="AK260" s="31">
        <f>ROUND(AA259*AK$5/1200,2)</f>
        <v>0.0</v>
      </c>
      <c r="AL260" s="31">
        <f>MIN(AL$5,R259+AB260)</f>
        <v>0.0</v>
      </c>
      <c r="AM260" s="31">
        <f>MIN(AM$5,S259+AC260)</f>
        <v>0.0</v>
      </c>
      <c r="AN260" s="31">
        <f>MIN(AN$5,T259+AD260)</f>
        <v>0.0</v>
      </c>
      <c r="AO260" s="31">
        <f>MIN(AO$5,U259+AE260)</f>
        <v>0.0</v>
      </c>
      <c r="AP260" s="31">
        <f>MIN(AP$5,V259+AF260)</f>
        <v>0.0</v>
      </c>
      <c r="AQ260" s="31">
        <f>MIN(AQ$5,W259+AG260)</f>
        <v>0.0</v>
      </c>
      <c r="AR260" s="31">
        <f>MIN(AR$5,X259+AH260)</f>
        <v>0.0</v>
      </c>
      <c r="AS260" s="31">
        <f>MIN(AS$5,Y259+AI260)</f>
        <v>0.0</v>
      </c>
      <c r="AT260" s="31">
        <f>MIN(AT$5,Z259+AJ260)</f>
        <v>0.0</v>
      </c>
      <c r="AU260" s="31">
        <f>MIN(AU$5,AA259+AK260)</f>
        <v>0.0</v>
      </c>
    </row>
    <row r="261">
      <c r="A261" s="25" t="str">
        <f>IF(F260&gt;0.005,256,"")</f>
        <v/>
      </c>
      <c r="B261" s="33" t="str">
        <f>IF(A261="","",EDATE(Долги!$D$5,255))</f>
        <v/>
      </c>
      <c r="C261" s="31">
        <f>SUM(H261:Q261)</f>
        <v>0.0</v>
      </c>
      <c r="D261" s="31">
        <f>SUM(AB261:AK261)</f>
        <v>0.0</v>
      </c>
      <c r="E261" s="31">
        <f>C261-D261</f>
        <v>0.0</v>
      </c>
      <c r="F261" s="31">
        <f>SUM(R261:AA261)</f>
        <v>0.0</v>
      </c>
      <c r="G261" s="34" t="str">
        <f>IF(OR(A261="",$F$5&lt;=0),"",REPT("█",ROUND(20*F261/$F$5,0)))</f>
        <v/>
      </c>
      <c r="H261" s="31">
        <f>AL261+MIN(R260+AB261-AL261,MAX(0,ROUND(Долги!$D$19-SUM($AL261:$AU261),2)))</f>
        <v>0.0</v>
      </c>
      <c r="I261" s="31">
        <f>AM261+MIN(S260+AC261-AM261,MAX(0,ROUND(ROUND(Долги!$D$19-SUM($AL261:$AU261),2)-(SUM($H261:H261)-SUM($AL261:AL261)),2)))</f>
        <v>0.0</v>
      </c>
      <c r="J261" s="31">
        <f>AN261+MIN(T260+AD261-AN261,MAX(0,ROUND(ROUND(Долги!$D$19-SUM($AL261:$AU261),2)-(SUM($H261:I261)-SUM($AL261:AM261)),2)))</f>
        <v>0.0</v>
      </c>
      <c r="K261" s="31">
        <f>AO261+MIN(U260+AE261-AO261,MAX(0,ROUND(ROUND(Долги!$D$19-SUM($AL261:$AU261),2)-(SUM($H261:J261)-SUM($AL261:AN261)),2)))</f>
        <v>0.0</v>
      </c>
      <c r="L261" s="31">
        <f>AP261+MIN(V260+AF261-AP261,MAX(0,ROUND(ROUND(Долги!$D$19-SUM($AL261:$AU261),2)-(SUM($H261:K261)-SUM($AL261:AO261)),2)))</f>
        <v>0.0</v>
      </c>
      <c r="M261" s="31">
        <f>AQ261+MIN(W260+AG261-AQ261,MAX(0,ROUND(ROUND(Долги!$D$19-SUM($AL261:$AU261),2)-(SUM($H261:L261)-SUM($AL261:AP261)),2)))</f>
        <v>0.0</v>
      </c>
      <c r="N261" s="31">
        <f>AR261+MIN(X260+AH261-AR261,MAX(0,ROUND(ROUND(Долги!$D$19-SUM($AL261:$AU261),2)-(SUM($H261:M261)-SUM($AL261:AQ261)),2)))</f>
        <v>0.0</v>
      </c>
      <c r="O261" s="31">
        <f>AS261+MIN(Y260+AI261-AS261,MAX(0,ROUND(ROUND(Долги!$D$19-SUM($AL261:$AU261),2)-(SUM($H261:N261)-SUM($AL261:AR261)),2)))</f>
        <v>0.0</v>
      </c>
      <c r="P261" s="31">
        <f>AT261+MIN(Z260+AJ261-AT261,MAX(0,ROUND(ROUND(Долги!$D$19-SUM($AL261:$AU261),2)-(SUM($H261:O261)-SUM($AL261:AS261)),2)))</f>
        <v>0.0</v>
      </c>
      <c r="Q261" s="31">
        <f>AU261+MIN(AA260+AK261-AU261,MAX(0,ROUND(ROUND(Долги!$D$19-SUM($AL261:$AU261),2)-(SUM($H261:P261)-SUM($AL261:AT261)),2)))</f>
        <v>0.0</v>
      </c>
      <c r="R261" s="31">
        <f>IF(R260+AB261-H261&lt;=0.01,0,ROUND(R260+AB261-H261,2))</f>
        <v>0.0</v>
      </c>
      <c r="S261" s="31">
        <f>IF(S260+AC261-I261&lt;=0.01,0,ROUND(S260+AC261-I261,2))</f>
        <v>0.0</v>
      </c>
      <c r="T261" s="31">
        <f>IF(T260+AD261-J261&lt;=0.01,0,ROUND(T260+AD261-J261,2))</f>
        <v>0.0</v>
      </c>
      <c r="U261" s="31">
        <f>IF(U260+AE261-K261&lt;=0.01,0,ROUND(U260+AE261-K261,2))</f>
        <v>0.0</v>
      </c>
      <c r="V261" s="31">
        <f>IF(V260+AF261-L261&lt;=0.01,0,ROUND(V260+AF261-L261,2))</f>
        <v>0.0</v>
      </c>
      <c r="W261" s="31">
        <f>IF(W260+AG261-M261&lt;=0.01,0,ROUND(W260+AG261-M261,2))</f>
        <v>0.0</v>
      </c>
      <c r="X261" s="31">
        <f>IF(X260+AH261-N261&lt;=0.01,0,ROUND(X260+AH261-N261,2))</f>
        <v>0.0</v>
      </c>
      <c r="Y261" s="31">
        <f>IF(Y260+AI261-O261&lt;=0.01,0,ROUND(Y260+AI261-O261,2))</f>
        <v>0.0</v>
      </c>
      <c r="Z261" s="31">
        <f>IF(Z260+AJ261-P261&lt;=0.01,0,ROUND(Z260+AJ261-P261,2))</f>
        <v>0.0</v>
      </c>
      <c r="AA261" s="31">
        <f>IF(AA260+AK261-Q261&lt;=0.01,0,ROUND(AA260+AK261-Q261,2))</f>
        <v>0.0</v>
      </c>
      <c r="AB261" s="31">
        <f>ROUND(R260*AB$5/1200,2)</f>
        <v>0.0</v>
      </c>
      <c r="AC261" s="31">
        <f>ROUND(S260*AC$5/1200,2)</f>
        <v>0.0</v>
      </c>
      <c r="AD261" s="31">
        <f>ROUND(T260*AD$5/1200,2)</f>
        <v>0.0</v>
      </c>
      <c r="AE261" s="31">
        <f>ROUND(U260*AE$5/1200,2)</f>
        <v>0.0</v>
      </c>
      <c r="AF261" s="31">
        <f>ROUND(V260*AF$5/1200,2)</f>
        <v>0.0</v>
      </c>
      <c r="AG261" s="31">
        <f>ROUND(W260*AG$5/1200,2)</f>
        <v>0.0</v>
      </c>
      <c r="AH261" s="31">
        <f>ROUND(X260*AH$5/1200,2)</f>
        <v>0.0</v>
      </c>
      <c r="AI261" s="31">
        <f>ROUND(Y260*AI$5/1200,2)</f>
        <v>0.0</v>
      </c>
      <c r="AJ261" s="31">
        <f>ROUND(Z260*AJ$5/1200,2)</f>
        <v>0.0</v>
      </c>
      <c r="AK261" s="31">
        <f>ROUND(AA260*AK$5/1200,2)</f>
        <v>0.0</v>
      </c>
      <c r="AL261" s="31">
        <f>MIN(AL$5,R260+AB261)</f>
        <v>0.0</v>
      </c>
      <c r="AM261" s="31">
        <f>MIN(AM$5,S260+AC261)</f>
        <v>0.0</v>
      </c>
      <c r="AN261" s="31">
        <f>MIN(AN$5,T260+AD261)</f>
        <v>0.0</v>
      </c>
      <c r="AO261" s="31">
        <f>MIN(AO$5,U260+AE261)</f>
        <v>0.0</v>
      </c>
      <c r="AP261" s="31">
        <f>MIN(AP$5,V260+AF261)</f>
        <v>0.0</v>
      </c>
      <c r="AQ261" s="31">
        <f>MIN(AQ$5,W260+AG261)</f>
        <v>0.0</v>
      </c>
      <c r="AR261" s="31">
        <f>MIN(AR$5,X260+AH261)</f>
        <v>0.0</v>
      </c>
      <c r="AS261" s="31">
        <f>MIN(AS$5,Y260+AI261)</f>
        <v>0.0</v>
      </c>
      <c r="AT261" s="31">
        <f>MIN(AT$5,Z260+AJ261)</f>
        <v>0.0</v>
      </c>
      <c r="AU261" s="31">
        <f>MIN(AU$5,AA260+AK261)</f>
        <v>0.0</v>
      </c>
    </row>
    <row r="262">
      <c r="A262" s="25" t="str">
        <f>IF(F261&gt;0.005,257,"")</f>
        <v/>
      </c>
      <c r="B262" s="33" t="str">
        <f>IF(A262="","",EDATE(Долги!$D$5,256))</f>
        <v/>
      </c>
      <c r="C262" s="31">
        <f>SUM(H262:Q262)</f>
        <v>0.0</v>
      </c>
      <c r="D262" s="31">
        <f>SUM(AB262:AK262)</f>
        <v>0.0</v>
      </c>
      <c r="E262" s="31">
        <f>C262-D262</f>
        <v>0.0</v>
      </c>
      <c r="F262" s="31">
        <f>SUM(R262:AA262)</f>
        <v>0.0</v>
      </c>
      <c r="G262" s="34" t="str">
        <f>IF(OR(A262="",$F$5&lt;=0),"",REPT("█",ROUND(20*F262/$F$5,0)))</f>
        <v/>
      </c>
      <c r="H262" s="31">
        <f>AL262+MIN(R261+AB262-AL262,MAX(0,ROUND(Долги!$D$19-SUM($AL262:$AU262),2)))</f>
        <v>0.0</v>
      </c>
      <c r="I262" s="31">
        <f>AM262+MIN(S261+AC262-AM262,MAX(0,ROUND(ROUND(Долги!$D$19-SUM($AL262:$AU262),2)-(SUM($H262:H262)-SUM($AL262:AL262)),2)))</f>
        <v>0.0</v>
      </c>
      <c r="J262" s="31">
        <f>AN262+MIN(T261+AD262-AN262,MAX(0,ROUND(ROUND(Долги!$D$19-SUM($AL262:$AU262),2)-(SUM($H262:I262)-SUM($AL262:AM262)),2)))</f>
        <v>0.0</v>
      </c>
      <c r="K262" s="31">
        <f>AO262+MIN(U261+AE262-AO262,MAX(0,ROUND(ROUND(Долги!$D$19-SUM($AL262:$AU262),2)-(SUM($H262:J262)-SUM($AL262:AN262)),2)))</f>
        <v>0.0</v>
      </c>
      <c r="L262" s="31">
        <f>AP262+MIN(V261+AF262-AP262,MAX(0,ROUND(ROUND(Долги!$D$19-SUM($AL262:$AU262),2)-(SUM($H262:K262)-SUM($AL262:AO262)),2)))</f>
        <v>0.0</v>
      </c>
      <c r="M262" s="31">
        <f>AQ262+MIN(W261+AG262-AQ262,MAX(0,ROUND(ROUND(Долги!$D$19-SUM($AL262:$AU262),2)-(SUM($H262:L262)-SUM($AL262:AP262)),2)))</f>
        <v>0.0</v>
      </c>
      <c r="N262" s="31">
        <f>AR262+MIN(X261+AH262-AR262,MAX(0,ROUND(ROUND(Долги!$D$19-SUM($AL262:$AU262),2)-(SUM($H262:M262)-SUM($AL262:AQ262)),2)))</f>
        <v>0.0</v>
      </c>
      <c r="O262" s="31">
        <f>AS262+MIN(Y261+AI262-AS262,MAX(0,ROUND(ROUND(Долги!$D$19-SUM($AL262:$AU262),2)-(SUM($H262:N262)-SUM($AL262:AR262)),2)))</f>
        <v>0.0</v>
      </c>
      <c r="P262" s="31">
        <f>AT262+MIN(Z261+AJ262-AT262,MAX(0,ROUND(ROUND(Долги!$D$19-SUM($AL262:$AU262),2)-(SUM($H262:O262)-SUM($AL262:AS262)),2)))</f>
        <v>0.0</v>
      </c>
      <c r="Q262" s="31">
        <f>AU262+MIN(AA261+AK262-AU262,MAX(0,ROUND(ROUND(Долги!$D$19-SUM($AL262:$AU262),2)-(SUM($H262:P262)-SUM($AL262:AT262)),2)))</f>
        <v>0.0</v>
      </c>
      <c r="R262" s="31">
        <f>IF(R261+AB262-H262&lt;=0.01,0,ROUND(R261+AB262-H262,2))</f>
        <v>0.0</v>
      </c>
      <c r="S262" s="31">
        <f>IF(S261+AC262-I262&lt;=0.01,0,ROUND(S261+AC262-I262,2))</f>
        <v>0.0</v>
      </c>
      <c r="T262" s="31">
        <f>IF(T261+AD262-J262&lt;=0.01,0,ROUND(T261+AD262-J262,2))</f>
        <v>0.0</v>
      </c>
      <c r="U262" s="31">
        <f>IF(U261+AE262-K262&lt;=0.01,0,ROUND(U261+AE262-K262,2))</f>
        <v>0.0</v>
      </c>
      <c r="V262" s="31">
        <f>IF(V261+AF262-L262&lt;=0.01,0,ROUND(V261+AF262-L262,2))</f>
        <v>0.0</v>
      </c>
      <c r="W262" s="31">
        <f>IF(W261+AG262-M262&lt;=0.01,0,ROUND(W261+AG262-M262,2))</f>
        <v>0.0</v>
      </c>
      <c r="X262" s="31">
        <f>IF(X261+AH262-N262&lt;=0.01,0,ROUND(X261+AH262-N262,2))</f>
        <v>0.0</v>
      </c>
      <c r="Y262" s="31">
        <f>IF(Y261+AI262-O262&lt;=0.01,0,ROUND(Y261+AI262-O262,2))</f>
        <v>0.0</v>
      </c>
      <c r="Z262" s="31">
        <f>IF(Z261+AJ262-P262&lt;=0.01,0,ROUND(Z261+AJ262-P262,2))</f>
        <v>0.0</v>
      </c>
      <c r="AA262" s="31">
        <f>IF(AA261+AK262-Q262&lt;=0.01,0,ROUND(AA261+AK262-Q262,2))</f>
        <v>0.0</v>
      </c>
      <c r="AB262" s="31">
        <f>ROUND(R261*AB$5/1200,2)</f>
        <v>0.0</v>
      </c>
      <c r="AC262" s="31">
        <f>ROUND(S261*AC$5/1200,2)</f>
        <v>0.0</v>
      </c>
      <c r="AD262" s="31">
        <f>ROUND(T261*AD$5/1200,2)</f>
        <v>0.0</v>
      </c>
      <c r="AE262" s="31">
        <f>ROUND(U261*AE$5/1200,2)</f>
        <v>0.0</v>
      </c>
      <c r="AF262" s="31">
        <f>ROUND(V261*AF$5/1200,2)</f>
        <v>0.0</v>
      </c>
      <c r="AG262" s="31">
        <f>ROUND(W261*AG$5/1200,2)</f>
        <v>0.0</v>
      </c>
      <c r="AH262" s="31">
        <f>ROUND(X261*AH$5/1200,2)</f>
        <v>0.0</v>
      </c>
      <c r="AI262" s="31">
        <f>ROUND(Y261*AI$5/1200,2)</f>
        <v>0.0</v>
      </c>
      <c r="AJ262" s="31">
        <f>ROUND(Z261*AJ$5/1200,2)</f>
        <v>0.0</v>
      </c>
      <c r="AK262" s="31">
        <f>ROUND(AA261*AK$5/1200,2)</f>
        <v>0.0</v>
      </c>
      <c r="AL262" s="31">
        <f>MIN(AL$5,R261+AB262)</f>
        <v>0.0</v>
      </c>
      <c r="AM262" s="31">
        <f>MIN(AM$5,S261+AC262)</f>
        <v>0.0</v>
      </c>
      <c r="AN262" s="31">
        <f>MIN(AN$5,T261+AD262)</f>
        <v>0.0</v>
      </c>
      <c r="AO262" s="31">
        <f>MIN(AO$5,U261+AE262)</f>
        <v>0.0</v>
      </c>
      <c r="AP262" s="31">
        <f>MIN(AP$5,V261+AF262)</f>
        <v>0.0</v>
      </c>
      <c r="AQ262" s="31">
        <f>MIN(AQ$5,W261+AG262)</f>
        <v>0.0</v>
      </c>
      <c r="AR262" s="31">
        <f>MIN(AR$5,X261+AH262)</f>
        <v>0.0</v>
      </c>
      <c r="AS262" s="31">
        <f>MIN(AS$5,Y261+AI262)</f>
        <v>0.0</v>
      </c>
      <c r="AT262" s="31">
        <f>MIN(AT$5,Z261+AJ262)</f>
        <v>0.0</v>
      </c>
      <c r="AU262" s="31">
        <f>MIN(AU$5,AA261+AK262)</f>
        <v>0.0</v>
      </c>
    </row>
    <row r="263">
      <c r="A263" s="25" t="str">
        <f>IF(F262&gt;0.005,258,"")</f>
        <v/>
      </c>
      <c r="B263" s="33" t="str">
        <f>IF(A263="","",EDATE(Долги!$D$5,257))</f>
        <v/>
      </c>
      <c r="C263" s="31">
        <f>SUM(H263:Q263)</f>
        <v>0.0</v>
      </c>
      <c r="D263" s="31">
        <f>SUM(AB263:AK263)</f>
        <v>0.0</v>
      </c>
      <c r="E263" s="31">
        <f>C263-D263</f>
        <v>0.0</v>
      </c>
      <c r="F263" s="31">
        <f>SUM(R263:AA263)</f>
        <v>0.0</v>
      </c>
      <c r="G263" s="34" t="str">
        <f>IF(OR(A263="",$F$5&lt;=0),"",REPT("█",ROUND(20*F263/$F$5,0)))</f>
        <v/>
      </c>
      <c r="H263" s="31">
        <f>AL263+MIN(R262+AB263-AL263,MAX(0,ROUND(Долги!$D$19-SUM($AL263:$AU263),2)))</f>
        <v>0.0</v>
      </c>
      <c r="I263" s="31">
        <f>AM263+MIN(S262+AC263-AM263,MAX(0,ROUND(ROUND(Долги!$D$19-SUM($AL263:$AU263),2)-(SUM($H263:H263)-SUM($AL263:AL263)),2)))</f>
        <v>0.0</v>
      </c>
      <c r="J263" s="31">
        <f>AN263+MIN(T262+AD263-AN263,MAX(0,ROUND(ROUND(Долги!$D$19-SUM($AL263:$AU263),2)-(SUM($H263:I263)-SUM($AL263:AM263)),2)))</f>
        <v>0.0</v>
      </c>
      <c r="K263" s="31">
        <f>AO263+MIN(U262+AE263-AO263,MAX(0,ROUND(ROUND(Долги!$D$19-SUM($AL263:$AU263),2)-(SUM($H263:J263)-SUM($AL263:AN263)),2)))</f>
        <v>0.0</v>
      </c>
      <c r="L263" s="31">
        <f>AP263+MIN(V262+AF263-AP263,MAX(0,ROUND(ROUND(Долги!$D$19-SUM($AL263:$AU263),2)-(SUM($H263:K263)-SUM($AL263:AO263)),2)))</f>
        <v>0.0</v>
      </c>
      <c r="M263" s="31">
        <f>AQ263+MIN(W262+AG263-AQ263,MAX(0,ROUND(ROUND(Долги!$D$19-SUM($AL263:$AU263),2)-(SUM($H263:L263)-SUM($AL263:AP263)),2)))</f>
        <v>0.0</v>
      </c>
      <c r="N263" s="31">
        <f>AR263+MIN(X262+AH263-AR263,MAX(0,ROUND(ROUND(Долги!$D$19-SUM($AL263:$AU263),2)-(SUM($H263:M263)-SUM($AL263:AQ263)),2)))</f>
        <v>0.0</v>
      </c>
      <c r="O263" s="31">
        <f>AS263+MIN(Y262+AI263-AS263,MAX(0,ROUND(ROUND(Долги!$D$19-SUM($AL263:$AU263),2)-(SUM($H263:N263)-SUM($AL263:AR263)),2)))</f>
        <v>0.0</v>
      </c>
      <c r="P263" s="31">
        <f>AT263+MIN(Z262+AJ263-AT263,MAX(0,ROUND(ROUND(Долги!$D$19-SUM($AL263:$AU263),2)-(SUM($H263:O263)-SUM($AL263:AS263)),2)))</f>
        <v>0.0</v>
      </c>
      <c r="Q263" s="31">
        <f>AU263+MIN(AA262+AK263-AU263,MAX(0,ROUND(ROUND(Долги!$D$19-SUM($AL263:$AU263),2)-(SUM($H263:P263)-SUM($AL263:AT263)),2)))</f>
        <v>0.0</v>
      </c>
      <c r="R263" s="31">
        <f>IF(R262+AB263-H263&lt;=0.01,0,ROUND(R262+AB263-H263,2))</f>
        <v>0.0</v>
      </c>
      <c r="S263" s="31">
        <f>IF(S262+AC263-I263&lt;=0.01,0,ROUND(S262+AC263-I263,2))</f>
        <v>0.0</v>
      </c>
      <c r="T263" s="31">
        <f>IF(T262+AD263-J263&lt;=0.01,0,ROUND(T262+AD263-J263,2))</f>
        <v>0.0</v>
      </c>
      <c r="U263" s="31">
        <f>IF(U262+AE263-K263&lt;=0.01,0,ROUND(U262+AE263-K263,2))</f>
        <v>0.0</v>
      </c>
      <c r="V263" s="31">
        <f>IF(V262+AF263-L263&lt;=0.01,0,ROUND(V262+AF263-L263,2))</f>
        <v>0.0</v>
      </c>
      <c r="W263" s="31">
        <f>IF(W262+AG263-M263&lt;=0.01,0,ROUND(W262+AG263-M263,2))</f>
        <v>0.0</v>
      </c>
      <c r="X263" s="31">
        <f>IF(X262+AH263-N263&lt;=0.01,0,ROUND(X262+AH263-N263,2))</f>
        <v>0.0</v>
      </c>
      <c r="Y263" s="31">
        <f>IF(Y262+AI263-O263&lt;=0.01,0,ROUND(Y262+AI263-O263,2))</f>
        <v>0.0</v>
      </c>
      <c r="Z263" s="31">
        <f>IF(Z262+AJ263-P263&lt;=0.01,0,ROUND(Z262+AJ263-P263,2))</f>
        <v>0.0</v>
      </c>
      <c r="AA263" s="31">
        <f>IF(AA262+AK263-Q263&lt;=0.01,0,ROUND(AA262+AK263-Q263,2))</f>
        <v>0.0</v>
      </c>
      <c r="AB263" s="31">
        <f>ROUND(R262*AB$5/1200,2)</f>
        <v>0.0</v>
      </c>
      <c r="AC263" s="31">
        <f>ROUND(S262*AC$5/1200,2)</f>
        <v>0.0</v>
      </c>
      <c r="AD263" s="31">
        <f>ROUND(T262*AD$5/1200,2)</f>
        <v>0.0</v>
      </c>
      <c r="AE263" s="31">
        <f>ROUND(U262*AE$5/1200,2)</f>
        <v>0.0</v>
      </c>
      <c r="AF263" s="31">
        <f>ROUND(V262*AF$5/1200,2)</f>
        <v>0.0</v>
      </c>
      <c r="AG263" s="31">
        <f>ROUND(W262*AG$5/1200,2)</f>
        <v>0.0</v>
      </c>
      <c r="AH263" s="31">
        <f>ROUND(X262*AH$5/1200,2)</f>
        <v>0.0</v>
      </c>
      <c r="AI263" s="31">
        <f>ROUND(Y262*AI$5/1200,2)</f>
        <v>0.0</v>
      </c>
      <c r="AJ263" s="31">
        <f>ROUND(Z262*AJ$5/1200,2)</f>
        <v>0.0</v>
      </c>
      <c r="AK263" s="31">
        <f>ROUND(AA262*AK$5/1200,2)</f>
        <v>0.0</v>
      </c>
      <c r="AL263" s="31">
        <f>MIN(AL$5,R262+AB263)</f>
        <v>0.0</v>
      </c>
      <c r="AM263" s="31">
        <f>MIN(AM$5,S262+AC263)</f>
        <v>0.0</v>
      </c>
      <c r="AN263" s="31">
        <f>MIN(AN$5,T262+AD263)</f>
        <v>0.0</v>
      </c>
      <c r="AO263" s="31">
        <f>MIN(AO$5,U262+AE263)</f>
        <v>0.0</v>
      </c>
      <c r="AP263" s="31">
        <f>MIN(AP$5,V262+AF263)</f>
        <v>0.0</v>
      </c>
      <c r="AQ263" s="31">
        <f>MIN(AQ$5,W262+AG263)</f>
        <v>0.0</v>
      </c>
      <c r="AR263" s="31">
        <f>MIN(AR$5,X262+AH263)</f>
        <v>0.0</v>
      </c>
      <c r="AS263" s="31">
        <f>MIN(AS$5,Y262+AI263)</f>
        <v>0.0</v>
      </c>
      <c r="AT263" s="31">
        <f>MIN(AT$5,Z262+AJ263)</f>
        <v>0.0</v>
      </c>
      <c r="AU263" s="31">
        <f>MIN(AU$5,AA262+AK263)</f>
        <v>0.0</v>
      </c>
    </row>
    <row r="264">
      <c r="A264" s="25" t="str">
        <f>IF(F263&gt;0.005,259,"")</f>
        <v/>
      </c>
      <c r="B264" s="33" t="str">
        <f>IF(A264="","",EDATE(Долги!$D$5,258))</f>
        <v/>
      </c>
      <c r="C264" s="31">
        <f>SUM(H264:Q264)</f>
        <v>0.0</v>
      </c>
      <c r="D264" s="31">
        <f>SUM(AB264:AK264)</f>
        <v>0.0</v>
      </c>
      <c r="E264" s="31">
        <f>C264-D264</f>
        <v>0.0</v>
      </c>
      <c r="F264" s="31">
        <f>SUM(R264:AA264)</f>
        <v>0.0</v>
      </c>
      <c r="G264" s="34" t="str">
        <f>IF(OR(A264="",$F$5&lt;=0),"",REPT("█",ROUND(20*F264/$F$5,0)))</f>
        <v/>
      </c>
      <c r="H264" s="31">
        <f>AL264+MIN(R263+AB264-AL264,MAX(0,ROUND(Долги!$D$19-SUM($AL264:$AU264),2)))</f>
        <v>0.0</v>
      </c>
      <c r="I264" s="31">
        <f>AM264+MIN(S263+AC264-AM264,MAX(0,ROUND(ROUND(Долги!$D$19-SUM($AL264:$AU264),2)-(SUM($H264:H264)-SUM($AL264:AL264)),2)))</f>
        <v>0.0</v>
      </c>
      <c r="J264" s="31">
        <f>AN264+MIN(T263+AD264-AN264,MAX(0,ROUND(ROUND(Долги!$D$19-SUM($AL264:$AU264),2)-(SUM($H264:I264)-SUM($AL264:AM264)),2)))</f>
        <v>0.0</v>
      </c>
      <c r="K264" s="31">
        <f>AO264+MIN(U263+AE264-AO264,MAX(0,ROUND(ROUND(Долги!$D$19-SUM($AL264:$AU264),2)-(SUM($H264:J264)-SUM($AL264:AN264)),2)))</f>
        <v>0.0</v>
      </c>
      <c r="L264" s="31">
        <f>AP264+MIN(V263+AF264-AP264,MAX(0,ROUND(ROUND(Долги!$D$19-SUM($AL264:$AU264),2)-(SUM($H264:K264)-SUM($AL264:AO264)),2)))</f>
        <v>0.0</v>
      </c>
      <c r="M264" s="31">
        <f>AQ264+MIN(W263+AG264-AQ264,MAX(0,ROUND(ROUND(Долги!$D$19-SUM($AL264:$AU264),2)-(SUM($H264:L264)-SUM($AL264:AP264)),2)))</f>
        <v>0.0</v>
      </c>
      <c r="N264" s="31">
        <f>AR264+MIN(X263+AH264-AR264,MAX(0,ROUND(ROUND(Долги!$D$19-SUM($AL264:$AU264),2)-(SUM($H264:M264)-SUM($AL264:AQ264)),2)))</f>
        <v>0.0</v>
      </c>
      <c r="O264" s="31">
        <f>AS264+MIN(Y263+AI264-AS264,MAX(0,ROUND(ROUND(Долги!$D$19-SUM($AL264:$AU264),2)-(SUM($H264:N264)-SUM($AL264:AR264)),2)))</f>
        <v>0.0</v>
      </c>
      <c r="P264" s="31">
        <f>AT264+MIN(Z263+AJ264-AT264,MAX(0,ROUND(ROUND(Долги!$D$19-SUM($AL264:$AU264),2)-(SUM($H264:O264)-SUM($AL264:AS264)),2)))</f>
        <v>0.0</v>
      </c>
      <c r="Q264" s="31">
        <f>AU264+MIN(AA263+AK264-AU264,MAX(0,ROUND(ROUND(Долги!$D$19-SUM($AL264:$AU264),2)-(SUM($H264:P264)-SUM($AL264:AT264)),2)))</f>
        <v>0.0</v>
      </c>
      <c r="R264" s="31">
        <f>IF(R263+AB264-H264&lt;=0.01,0,ROUND(R263+AB264-H264,2))</f>
        <v>0.0</v>
      </c>
      <c r="S264" s="31">
        <f>IF(S263+AC264-I264&lt;=0.01,0,ROUND(S263+AC264-I264,2))</f>
        <v>0.0</v>
      </c>
      <c r="T264" s="31">
        <f>IF(T263+AD264-J264&lt;=0.01,0,ROUND(T263+AD264-J264,2))</f>
        <v>0.0</v>
      </c>
      <c r="U264" s="31">
        <f>IF(U263+AE264-K264&lt;=0.01,0,ROUND(U263+AE264-K264,2))</f>
        <v>0.0</v>
      </c>
      <c r="V264" s="31">
        <f>IF(V263+AF264-L264&lt;=0.01,0,ROUND(V263+AF264-L264,2))</f>
        <v>0.0</v>
      </c>
      <c r="W264" s="31">
        <f>IF(W263+AG264-M264&lt;=0.01,0,ROUND(W263+AG264-M264,2))</f>
        <v>0.0</v>
      </c>
      <c r="X264" s="31">
        <f>IF(X263+AH264-N264&lt;=0.01,0,ROUND(X263+AH264-N264,2))</f>
        <v>0.0</v>
      </c>
      <c r="Y264" s="31">
        <f>IF(Y263+AI264-O264&lt;=0.01,0,ROUND(Y263+AI264-O264,2))</f>
        <v>0.0</v>
      </c>
      <c r="Z264" s="31">
        <f>IF(Z263+AJ264-P264&lt;=0.01,0,ROUND(Z263+AJ264-P264,2))</f>
        <v>0.0</v>
      </c>
      <c r="AA264" s="31">
        <f>IF(AA263+AK264-Q264&lt;=0.01,0,ROUND(AA263+AK264-Q264,2))</f>
        <v>0.0</v>
      </c>
      <c r="AB264" s="31">
        <f>ROUND(R263*AB$5/1200,2)</f>
        <v>0.0</v>
      </c>
      <c r="AC264" s="31">
        <f>ROUND(S263*AC$5/1200,2)</f>
        <v>0.0</v>
      </c>
      <c r="AD264" s="31">
        <f>ROUND(T263*AD$5/1200,2)</f>
        <v>0.0</v>
      </c>
      <c r="AE264" s="31">
        <f>ROUND(U263*AE$5/1200,2)</f>
        <v>0.0</v>
      </c>
      <c r="AF264" s="31">
        <f>ROUND(V263*AF$5/1200,2)</f>
        <v>0.0</v>
      </c>
      <c r="AG264" s="31">
        <f>ROUND(W263*AG$5/1200,2)</f>
        <v>0.0</v>
      </c>
      <c r="AH264" s="31">
        <f>ROUND(X263*AH$5/1200,2)</f>
        <v>0.0</v>
      </c>
      <c r="AI264" s="31">
        <f>ROUND(Y263*AI$5/1200,2)</f>
        <v>0.0</v>
      </c>
      <c r="AJ264" s="31">
        <f>ROUND(Z263*AJ$5/1200,2)</f>
        <v>0.0</v>
      </c>
      <c r="AK264" s="31">
        <f>ROUND(AA263*AK$5/1200,2)</f>
        <v>0.0</v>
      </c>
      <c r="AL264" s="31">
        <f>MIN(AL$5,R263+AB264)</f>
        <v>0.0</v>
      </c>
      <c r="AM264" s="31">
        <f>MIN(AM$5,S263+AC264)</f>
        <v>0.0</v>
      </c>
      <c r="AN264" s="31">
        <f>MIN(AN$5,T263+AD264)</f>
        <v>0.0</v>
      </c>
      <c r="AO264" s="31">
        <f>MIN(AO$5,U263+AE264)</f>
        <v>0.0</v>
      </c>
      <c r="AP264" s="31">
        <f>MIN(AP$5,V263+AF264)</f>
        <v>0.0</v>
      </c>
      <c r="AQ264" s="31">
        <f>MIN(AQ$5,W263+AG264)</f>
        <v>0.0</v>
      </c>
      <c r="AR264" s="31">
        <f>MIN(AR$5,X263+AH264)</f>
        <v>0.0</v>
      </c>
      <c r="AS264" s="31">
        <f>MIN(AS$5,Y263+AI264)</f>
        <v>0.0</v>
      </c>
      <c r="AT264" s="31">
        <f>MIN(AT$5,Z263+AJ264)</f>
        <v>0.0</v>
      </c>
      <c r="AU264" s="31">
        <f>MIN(AU$5,AA263+AK264)</f>
        <v>0.0</v>
      </c>
    </row>
    <row r="265">
      <c r="A265" s="25" t="str">
        <f>IF(F264&gt;0.005,260,"")</f>
        <v/>
      </c>
      <c r="B265" s="33" t="str">
        <f>IF(A265="","",EDATE(Долги!$D$5,259))</f>
        <v/>
      </c>
      <c r="C265" s="31">
        <f>SUM(H265:Q265)</f>
        <v>0.0</v>
      </c>
      <c r="D265" s="31">
        <f>SUM(AB265:AK265)</f>
        <v>0.0</v>
      </c>
      <c r="E265" s="31">
        <f>C265-D265</f>
        <v>0.0</v>
      </c>
      <c r="F265" s="31">
        <f>SUM(R265:AA265)</f>
        <v>0.0</v>
      </c>
      <c r="G265" s="34" t="str">
        <f>IF(OR(A265="",$F$5&lt;=0),"",REPT("█",ROUND(20*F265/$F$5,0)))</f>
        <v/>
      </c>
      <c r="H265" s="31">
        <f>AL265+MIN(R264+AB265-AL265,MAX(0,ROUND(Долги!$D$19-SUM($AL265:$AU265),2)))</f>
        <v>0.0</v>
      </c>
      <c r="I265" s="31">
        <f>AM265+MIN(S264+AC265-AM265,MAX(0,ROUND(ROUND(Долги!$D$19-SUM($AL265:$AU265),2)-(SUM($H265:H265)-SUM($AL265:AL265)),2)))</f>
        <v>0.0</v>
      </c>
      <c r="J265" s="31">
        <f>AN265+MIN(T264+AD265-AN265,MAX(0,ROUND(ROUND(Долги!$D$19-SUM($AL265:$AU265),2)-(SUM($H265:I265)-SUM($AL265:AM265)),2)))</f>
        <v>0.0</v>
      </c>
      <c r="K265" s="31">
        <f>AO265+MIN(U264+AE265-AO265,MAX(0,ROUND(ROUND(Долги!$D$19-SUM($AL265:$AU265),2)-(SUM($H265:J265)-SUM($AL265:AN265)),2)))</f>
        <v>0.0</v>
      </c>
      <c r="L265" s="31">
        <f>AP265+MIN(V264+AF265-AP265,MAX(0,ROUND(ROUND(Долги!$D$19-SUM($AL265:$AU265),2)-(SUM($H265:K265)-SUM($AL265:AO265)),2)))</f>
        <v>0.0</v>
      </c>
      <c r="M265" s="31">
        <f>AQ265+MIN(W264+AG265-AQ265,MAX(0,ROUND(ROUND(Долги!$D$19-SUM($AL265:$AU265),2)-(SUM($H265:L265)-SUM($AL265:AP265)),2)))</f>
        <v>0.0</v>
      </c>
      <c r="N265" s="31">
        <f>AR265+MIN(X264+AH265-AR265,MAX(0,ROUND(ROUND(Долги!$D$19-SUM($AL265:$AU265),2)-(SUM($H265:M265)-SUM($AL265:AQ265)),2)))</f>
        <v>0.0</v>
      </c>
      <c r="O265" s="31">
        <f>AS265+MIN(Y264+AI265-AS265,MAX(0,ROUND(ROUND(Долги!$D$19-SUM($AL265:$AU265),2)-(SUM($H265:N265)-SUM($AL265:AR265)),2)))</f>
        <v>0.0</v>
      </c>
      <c r="P265" s="31">
        <f>AT265+MIN(Z264+AJ265-AT265,MAX(0,ROUND(ROUND(Долги!$D$19-SUM($AL265:$AU265),2)-(SUM($H265:O265)-SUM($AL265:AS265)),2)))</f>
        <v>0.0</v>
      </c>
      <c r="Q265" s="31">
        <f>AU265+MIN(AA264+AK265-AU265,MAX(0,ROUND(ROUND(Долги!$D$19-SUM($AL265:$AU265),2)-(SUM($H265:P265)-SUM($AL265:AT265)),2)))</f>
        <v>0.0</v>
      </c>
      <c r="R265" s="31">
        <f>IF(R264+AB265-H265&lt;=0.01,0,ROUND(R264+AB265-H265,2))</f>
        <v>0.0</v>
      </c>
      <c r="S265" s="31">
        <f>IF(S264+AC265-I265&lt;=0.01,0,ROUND(S264+AC265-I265,2))</f>
        <v>0.0</v>
      </c>
      <c r="T265" s="31">
        <f>IF(T264+AD265-J265&lt;=0.01,0,ROUND(T264+AD265-J265,2))</f>
        <v>0.0</v>
      </c>
      <c r="U265" s="31">
        <f>IF(U264+AE265-K265&lt;=0.01,0,ROUND(U264+AE265-K265,2))</f>
        <v>0.0</v>
      </c>
      <c r="V265" s="31">
        <f>IF(V264+AF265-L265&lt;=0.01,0,ROUND(V264+AF265-L265,2))</f>
        <v>0.0</v>
      </c>
      <c r="W265" s="31">
        <f>IF(W264+AG265-M265&lt;=0.01,0,ROUND(W264+AG265-M265,2))</f>
        <v>0.0</v>
      </c>
      <c r="X265" s="31">
        <f>IF(X264+AH265-N265&lt;=0.01,0,ROUND(X264+AH265-N265,2))</f>
        <v>0.0</v>
      </c>
      <c r="Y265" s="31">
        <f>IF(Y264+AI265-O265&lt;=0.01,0,ROUND(Y264+AI265-O265,2))</f>
        <v>0.0</v>
      </c>
      <c r="Z265" s="31">
        <f>IF(Z264+AJ265-P265&lt;=0.01,0,ROUND(Z264+AJ265-P265,2))</f>
        <v>0.0</v>
      </c>
      <c r="AA265" s="31">
        <f>IF(AA264+AK265-Q265&lt;=0.01,0,ROUND(AA264+AK265-Q265,2))</f>
        <v>0.0</v>
      </c>
      <c r="AB265" s="31">
        <f>ROUND(R264*AB$5/1200,2)</f>
        <v>0.0</v>
      </c>
      <c r="AC265" s="31">
        <f>ROUND(S264*AC$5/1200,2)</f>
        <v>0.0</v>
      </c>
      <c r="AD265" s="31">
        <f>ROUND(T264*AD$5/1200,2)</f>
        <v>0.0</v>
      </c>
      <c r="AE265" s="31">
        <f>ROUND(U264*AE$5/1200,2)</f>
        <v>0.0</v>
      </c>
      <c r="AF265" s="31">
        <f>ROUND(V264*AF$5/1200,2)</f>
        <v>0.0</v>
      </c>
      <c r="AG265" s="31">
        <f>ROUND(W264*AG$5/1200,2)</f>
        <v>0.0</v>
      </c>
      <c r="AH265" s="31">
        <f>ROUND(X264*AH$5/1200,2)</f>
        <v>0.0</v>
      </c>
      <c r="AI265" s="31">
        <f>ROUND(Y264*AI$5/1200,2)</f>
        <v>0.0</v>
      </c>
      <c r="AJ265" s="31">
        <f>ROUND(Z264*AJ$5/1200,2)</f>
        <v>0.0</v>
      </c>
      <c r="AK265" s="31">
        <f>ROUND(AA264*AK$5/1200,2)</f>
        <v>0.0</v>
      </c>
      <c r="AL265" s="31">
        <f>MIN(AL$5,R264+AB265)</f>
        <v>0.0</v>
      </c>
      <c r="AM265" s="31">
        <f>MIN(AM$5,S264+AC265)</f>
        <v>0.0</v>
      </c>
      <c r="AN265" s="31">
        <f>MIN(AN$5,T264+AD265)</f>
        <v>0.0</v>
      </c>
      <c r="AO265" s="31">
        <f>MIN(AO$5,U264+AE265)</f>
        <v>0.0</v>
      </c>
      <c r="AP265" s="31">
        <f>MIN(AP$5,V264+AF265)</f>
        <v>0.0</v>
      </c>
      <c r="AQ265" s="31">
        <f>MIN(AQ$5,W264+AG265)</f>
        <v>0.0</v>
      </c>
      <c r="AR265" s="31">
        <f>MIN(AR$5,X264+AH265)</f>
        <v>0.0</v>
      </c>
      <c r="AS265" s="31">
        <f>MIN(AS$5,Y264+AI265)</f>
        <v>0.0</v>
      </c>
      <c r="AT265" s="31">
        <f>MIN(AT$5,Z264+AJ265)</f>
        <v>0.0</v>
      </c>
      <c r="AU265" s="31">
        <f>MIN(AU$5,AA264+AK265)</f>
        <v>0.0</v>
      </c>
    </row>
    <row r="266">
      <c r="A266" s="25" t="str">
        <f>IF(F265&gt;0.005,261,"")</f>
        <v/>
      </c>
      <c r="B266" s="33" t="str">
        <f>IF(A266="","",EDATE(Долги!$D$5,260))</f>
        <v/>
      </c>
      <c r="C266" s="31">
        <f>SUM(H266:Q266)</f>
        <v>0.0</v>
      </c>
      <c r="D266" s="31">
        <f>SUM(AB266:AK266)</f>
        <v>0.0</v>
      </c>
      <c r="E266" s="31">
        <f>C266-D266</f>
        <v>0.0</v>
      </c>
      <c r="F266" s="31">
        <f>SUM(R266:AA266)</f>
        <v>0.0</v>
      </c>
      <c r="G266" s="34" t="str">
        <f>IF(OR(A266="",$F$5&lt;=0),"",REPT("█",ROUND(20*F266/$F$5,0)))</f>
        <v/>
      </c>
      <c r="H266" s="31">
        <f>AL266+MIN(R265+AB266-AL266,MAX(0,ROUND(Долги!$D$19-SUM($AL266:$AU266),2)))</f>
        <v>0.0</v>
      </c>
      <c r="I266" s="31">
        <f>AM266+MIN(S265+AC266-AM266,MAX(0,ROUND(ROUND(Долги!$D$19-SUM($AL266:$AU266),2)-(SUM($H266:H266)-SUM($AL266:AL266)),2)))</f>
        <v>0.0</v>
      </c>
      <c r="J266" s="31">
        <f>AN266+MIN(T265+AD266-AN266,MAX(0,ROUND(ROUND(Долги!$D$19-SUM($AL266:$AU266),2)-(SUM($H266:I266)-SUM($AL266:AM266)),2)))</f>
        <v>0.0</v>
      </c>
      <c r="K266" s="31">
        <f>AO266+MIN(U265+AE266-AO266,MAX(0,ROUND(ROUND(Долги!$D$19-SUM($AL266:$AU266),2)-(SUM($H266:J266)-SUM($AL266:AN266)),2)))</f>
        <v>0.0</v>
      </c>
      <c r="L266" s="31">
        <f>AP266+MIN(V265+AF266-AP266,MAX(0,ROUND(ROUND(Долги!$D$19-SUM($AL266:$AU266),2)-(SUM($H266:K266)-SUM($AL266:AO266)),2)))</f>
        <v>0.0</v>
      </c>
      <c r="M266" s="31">
        <f>AQ266+MIN(W265+AG266-AQ266,MAX(0,ROUND(ROUND(Долги!$D$19-SUM($AL266:$AU266),2)-(SUM($H266:L266)-SUM($AL266:AP266)),2)))</f>
        <v>0.0</v>
      </c>
      <c r="N266" s="31">
        <f>AR266+MIN(X265+AH266-AR266,MAX(0,ROUND(ROUND(Долги!$D$19-SUM($AL266:$AU266),2)-(SUM($H266:M266)-SUM($AL266:AQ266)),2)))</f>
        <v>0.0</v>
      </c>
      <c r="O266" s="31">
        <f>AS266+MIN(Y265+AI266-AS266,MAX(0,ROUND(ROUND(Долги!$D$19-SUM($AL266:$AU266),2)-(SUM($H266:N266)-SUM($AL266:AR266)),2)))</f>
        <v>0.0</v>
      </c>
      <c r="P266" s="31">
        <f>AT266+MIN(Z265+AJ266-AT266,MAX(0,ROUND(ROUND(Долги!$D$19-SUM($AL266:$AU266),2)-(SUM($H266:O266)-SUM($AL266:AS266)),2)))</f>
        <v>0.0</v>
      </c>
      <c r="Q266" s="31">
        <f>AU266+MIN(AA265+AK266-AU266,MAX(0,ROUND(ROUND(Долги!$D$19-SUM($AL266:$AU266),2)-(SUM($H266:P266)-SUM($AL266:AT266)),2)))</f>
        <v>0.0</v>
      </c>
      <c r="R266" s="31">
        <f>IF(R265+AB266-H266&lt;=0.01,0,ROUND(R265+AB266-H266,2))</f>
        <v>0.0</v>
      </c>
      <c r="S266" s="31">
        <f>IF(S265+AC266-I266&lt;=0.01,0,ROUND(S265+AC266-I266,2))</f>
        <v>0.0</v>
      </c>
      <c r="T266" s="31">
        <f>IF(T265+AD266-J266&lt;=0.01,0,ROUND(T265+AD266-J266,2))</f>
        <v>0.0</v>
      </c>
      <c r="U266" s="31">
        <f>IF(U265+AE266-K266&lt;=0.01,0,ROUND(U265+AE266-K266,2))</f>
        <v>0.0</v>
      </c>
      <c r="V266" s="31">
        <f>IF(V265+AF266-L266&lt;=0.01,0,ROUND(V265+AF266-L266,2))</f>
        <v>0.0</v>
      </c>
      <c r="W266" s="31">
        <f>IF(W265+AG266-M266&lt;=0.01,0,ROUND(W265+AG266-M266,2))</f>
        <v>0.0</v>
      </c>
      <c r="X266" s="31">
        <f>IF(X265+AH266-N266&lt;=0.01,0,ROUND(X265+AH266-N266,2))</f>
        <v>0.0</v>
      </c>
      <c r="Y266" s="31">
        <f>IF(Y265+AI266-O266&lt;=0.01,0,ROUND(Y265+AI266-O266,2))</f>
        <v>0.0</v>
      </c>
      <c r="Z266" s="31">
        <f>IF(Z265+AJ266-P266&lt;=0.01,0,ROUND(Z265+AJ266-P266,2))</f>
        <v>0.0</v>
      </c>
      <c r="AA266" s="31">
        <f>IF(AA265+AK266-Q266&lt;=0.01,0,ROUND(AA265+AK266-Q266,2))</f>
        <v>0.0</v>
      </c>
      <c r="AB266" s="31">
        <f>ROUND(R265*AB$5/1200,2)</f>
        <v>0.0</v>
      </c>
      <c r="AC266" s="31">
        <f>ROUND(S265*AC$5/1200,2)</f>
        <v>0.0</v>
      </c>
      <c r="AD266" s="31">
        <f>ROUND(T265*AD$5/1200,2)</f>
        <v>0.0</v>
      </c>
      <c r="AE266" s="31">
        <f>ROUND(U265*AE$5/1200,2)</f>
        <v>0.0</v>
      </c>
      <c r="AF266" s="31">
        <f>ROUND(V265*AF$5/1200,2)</f>
        <v>0.0</v>
      </c>
      <c r="AG266" s="31">
        <f>ROUND(W265*AG$5/1200,2)</f>
        <v>0.0</v>
      </c>
      <c r="AH266" s="31">
        <f>ROUND(X265*AH$5/1200,2)</f>
        <v>0.0</v>
      </c>
      <c r="AI266" s="31">
        <f>ROUND(Y265*AI$5/1200,2)</f>
        <v>0.0</v>
      </c>
      <c r="AJ266" s="31">
        <f>ROUND(Z265*AJ$5/1200,2)</f>
        <v>0.0</v>
      </c>
      <c r="AK266" s="31">
        <f>ROUND(AA265*AK$5/1200,2)</f>
        <v>0.0</v>
      </c>
      <c r="AL266" s="31">
        <f>MIN(AL$5,R265+AB266)</f>
        <v>0.0</v>
      </c>
      <c r="AM266" s="31">
        <f>MIN(AM$5,S265+AC266)</f>
        <v>0.0</v>
      </c>
      <c r="AN266" s="31">
        <f>MIN(AN$5,T265+AD266)</f>
        <v>0.0</v>
      </c>
      <c r="AO266" s="31">
        <f>MIN(AO$5,U265+AE266)</f>
        <v>0.0</v>
      </c>
      <c r="AP266" s="31">
        <f>MIN(AP$5,V265+AF266)</f>
        <v>0.0</v>
      </c>
      <c r="AQ266" s="31">
        <f>MIN(AQ$5,W265+AG266)</f>
        <v>0.0</v>
      </c>
      <c r="AR266" s="31">
        <f>MIN(AR$5,X265+AH266)</f>
        <v>0.0</v>
      </c>
      <c r="AS266" s="31">
        <f>MIN(AS$5,Y265+AI266)</f>
        <v>0.0</v>
      </c>
      <c r="AT266" s="31">
        <f>MIN(AT$5,Z265+AJ266)</f>
        <v>0.0</v>
      </c>
      <c r="AU266" s="31">
        <f>MIN(AU$5,AA265+AK266)</f>
        <v>0.0</v>
      </c>
    </row>
    <row r="267">
      <c r="A267" s="25" t="str">
        <f>IF(F266&gt;0.005,262,"")</f>
        <v/>
      </c>
      <c r="B267" s="33" t="str">
        <f>IF(A267="","",EDATE(Долги!$D$5,261))</f>
        <v/>
      </c>
      <c r="C267" s="31">
        <f>SUM(H267:Q267)</f>
        <v>0.0</v>
      </c>
      <c r="D267" s="31">
        <f>SUM(AB267:AK267)</f>
        <v>0.0</v>
      </c>
      <c r="E267" s="31">
        <f>C267-D267</f>
        <v>0.0</v>
      </c>
      <c r="F267" s="31">
        <f>SUM(R267:AA267)</f>
        <v>0.0</v>
      </c>
      <c r="G267" s="34" t="str">
        <f>IF(OR(A267="",$F$5&lt;=0),"",REPT("█",ROUND(20*F267/$F$5,0)))</f>
        <v/>
      </c>
      <c r="H267" s="31">
        <f>AL267+MIN(R266+AB267-AL267,MAX(0,ROUND(Долги!$D$19-SUM($AL267:$AU267),2)))</f>
        <v>0.0</v>
      </c>
      <c r="I267" s="31">
        <f>AM267+MIN(S266+AC267-AM267,MAX(0,ROUND(ROUND(Долги!$D$19-SUM($AL267:$AU267),2)-(SUM($H267:H267)-SUM($AL267:AL267)),2)))</f>
        <v>0.0</v>
      </c>
      <c r="J267" s="31">
        <f>AN267+MIN(T266+AD267-AN267,MAX(0,ROUND(ROUND(Долги!$D$19-SUM($AL267:$AU267),2)-(SUM($H267:I267)-SUM($AL267:AM267)),2)))</f>
        <v>0.0</v>
      </c>
      <c r="K267" s="31">
        <f>AO267+MIN(U266+AE267-AO267,MAX(0,ROUND(ROUND(Долги!$D$19-SUM($AL267:$AU267),2)-(SUM($H267:J267)-SUM($AL267:AN267)),2)))</f>
        <v>0.0</v>
      </c>
      <c r="L267" s="31">
        <f>AP267+MIN(V266+AF267-AP267,MAX(0,ROUND(ROUND(Долги!$D$19-SUM($AL267:$AU267),2)-(SUM($H267:K267)-SUM($AL267:AO267)),2)))</f>
        <v>0.0</v>
      </c>
      <c r="M267" s="31">
        <f>AQ267+MIN(W266+AG267-AQ267,MAX(0,ROUND(ROUND(Долги!$D$19-SUM($AL267:$AU267),2)-(SUM($H267:L267)-SUM($AL267:AP267)),2)))</f>
        <v>0.0</v>
      </c>
      <c r="N267" s="31">
        <f>AR267+MIN(X266+AH267-AR267,MAX(0,ROUND(ROUND(Долги!$D$19-SUM($AL267:$AU267),2)-(SUM($H267:M267)-SUM($AL267:AQ267)),2)))</f>
        <v>0.0</v>
      </c>
      <c r="O267" s="31">
        <f>AS267+MIN(Y266+AI267-AS267,MAX(0,ROUND(ROUND(Долги!$D$19-SUM($AL267:$AU267),2)-(SUM($H267:N267)-SUM($AL267:AR267)),2)))</f>
        <v>0.0</v>
      </c>
      <c r="P267" s="31">
        <f>AT267+MIN(Z266+AJ267-AT267,MAX(0,ROUND(ROUND(Долги!$D$19-SUM($AL267:$AU267),2)-(SUM($H267:O267)-SUM($AL267:AS267)),2)))</f>
        <v>0.0</v>
      </c>
      <c r="Q267" s="31">
        <f>AU267+MIN(AA266+AK267-AU267,MAX(0,ROUND(ROUND(Долги!$D$19-SUM($AL267:$AU267),2)-(SUM($H267:P267)-SUM($AL267:AT267)),2)))</f>
        <v>0.0</v>
      </c>
      <c r="R267" s="31">
        <f>IF(R266+AB267-H267&lt;=0.01,0,ROUND(R266+AB267-H267,2))</f>
        <v>0.0</v>
      </c>
      <c r="S267" s="31">
        <f>IF(S266+AC267-I267&lt;=0.01,0,ROUND(S266+AC267-I267,2))</f>
        <v>0.0</v>
      </c>
      <c r="T267" s="31">
        <f>IF(T266+AD267-J267&lt;=0.01,0,ROUND(T266+AD267-J267,2))</f>
        <v>0.0</v>
      </c>
      <c r="U267" s="31">
        <f>IF(U266+AE267-K267&lt;=0.01,0,ROUND(U266+AE267-K267,2))</f>
        <v>0.0</v>
      </c>
      <c r="V267" s="31">
        <f>IF(V266+AF267-L267&lt;=0.01,0,ROUND(V266+AF267-L267,2))</f>
        <v>0.0</v>
      </c>
      <c r="W267" s="31">
        <f>IF(W266+AG267-M267&lt;=0.01,0,ROUND(W266+AG267-M267,2))</f>
        <v>0.0</v>
      </c>
      <c r="X267" s="31">
        <f>IF(X266+AH267-N267&lt;=0.01,0,ROUND(X266+AH267-N267,2))</f>
        <v>0.0</v>
      </c>
      <c r="Y267" s="31">
        <f>IF(Y266+AI267-O267&lt;=0.01,0,ROUND(Y266+AI267-O267,2))</f>
        <v>0.0</v>
      </c>
      <c r="Z267" s="31">
        <f>IF(Z266+AJ267-P267&lt;=0.01,0,ROUND(Z266+AJ267-P267,2))</f>
        <v>0.0</v>
      </c>
      <c r="AA267" s="31">
        <f>IF(AA266+AK267-Q267&lt;=0.01,0,ROUND(AA266+AK267-Q267,2))</f>
        <v>0.0</v>
      </c>
      <c r="AB267" s="31">
        <f>ROUND(R266*AB$5/1200,2)</f>
        <v>0.0</v>
      </c>
      <c r="AC267" s="31">
        <f>ROUND(S266*AC$5/1200,2)</f>
        <v>0.0</v>
      </c>
      <c r="AD267" s="31">
        <f>ROUND(T266*AD$5/1200,2)</f>
        <v>0.0</v>
      </c>
      <c r="AE267" s="31">
        <f>ROUND(U266*AE$5/1200,2)</f>
        <v>0.0</v>
      </c>
      <c r="AF267" s="31">
        <f>ROUND(V266*AF$5/1200,2)</f>
        <v>0.0</v>
      </c>
      <c r="AG267" s="31">
        <f>ROUND(W266*AG$5/1200,2)</f>
        <v>0.0</v>
      </c>
      <c r="AH267" s="31">
        <f>ROUND(X266*AH$5/1200,2)</f>
        <v>0.0</v>
      </c>
      <c r="AI267" s="31">
        <f>ROUND(Y266*AI$5/1200,2)</f>
        <v>0.0</v>
      </c>
      <c r="AJ267" s="31">
        <f>ROUND(Z266*AJ$5/1200,2)</f>
        <v>0.0</v>
      </c>
      <c r="AK267" s="31">
        <f>ROUND(AA266*AK$5/1200,2)</f>
        <v>0.0</v>
      </c>
      <c r="AL267" s="31">
        <f>MIN(AL$5,R266+AB267)</f>
        <v>0.0</v>
      </c>
      <c r="AM267" s="31">
        <f>MIN(AM$5,S266+AC267)</f>
        <v>0.0</v>
      </c>
      <c r="AN267" s="31">
        <f>MIN(AN$5,T266+AD267)</f>
        <v>0.0</v>
      </c>
      <c r="AO267" s="31">
        <f>MIN(AO$5,U266+AE267)</f>
        <v>0.0</v>
      </c>
      <c r="AP267" s="31">
        <f>MIN(AP$5,V266+AF267)</f>
        <v>0.0</v>
      </c>
      <c r="AQ267" s="31">
        <f>MIN(AQ$5,W266+AG267)</f>
        <v>0.0</v>
      </c>
      <c r="AR267" s="31">
        <f>MIN(AR$5,X266+AH267)</f>
        <v>0.0</v>
      </c>
      <c r="AS267" s="31">
        <f>MIN(AS$5,Y266+AI267)</f>
        <v>0.0</v>
      </c>
      <c r="AT267" s="31">
        <f>MIN(AT$5,Z266+AJ267)</f>
        <v>0.0</v>
      </c>
      <c r="AU267" s="31">
        <f>MIN(AU$5,AA266+AK267)</f>
        <v>0.0</v>
      </c>
    </row>
    <row r="268">
      <c r="A268" s="25" t="str">
        <f>IF(F267&gt;0.005,263,"")</f>
        <v/>
      </c>
      <c r="B268" s="33" t="str">
        <f>IF(A268="","",EDATE(Долги!$D$5,262))</f>
        <v/>
      </c>
      <c r="C268" s="31">
        <f>SUM(H268:Q268)</f>
        <v>0.0</v>
      </c>
      <c r="D268" s="31">
        <f>SUM(AB268:AK268)</f>
        <v>0.0</v>
      </c>
      <c r="E268" s="31">
        <f>C268-D268</f>
        <v>0.0</v>
      </c>
      <c r="F268" s="31">
        <f>SUM(R268:AA268)</f>
        <v>0.0</v>
      </c>
      <c r="G268" s="34" t="str">
        <f>IF(OR(A268="",$F$5&lt;=0),"",REPT("█",ROUND(20*F268/$F$5,0)))</f>
        <v/>
      </c>
      <c r="H268" s="31">
        <f>AL268+MIN(R267+AB268-AL268,MAX(0,ROUND(Долги!$D$19-SUM($AL268:$AU268),2)))</f>
        <v>0.0</v>
      </c>
      <c r="I268" s="31">
        <f>AM268+MIN(S267+AC268-AM268,MAX(0,ROUND(ROUND(Долги!$D$19-SUM($AL268:$AU268),2)-(SUM($H268:H268)-SUM($AL268:AL268)),2)))</f>
        <v>0.0</v>
      </c>
      <c r="J268" s="31">
        <f>AN268+MIN(T267+AD268-AN268,MAX(0,ROUND(ROUND(Долги!$D$19-SUM($AL268:$AU268),2)-(SUM($H268:I268)-SUM($AL268:AM268)),2)))</f>
        <v>0.0</v>
      </c>
      <c r="K268" s="31">
        <f>AO268+MIN(U267+AE268-AO268,MAX(0,ROUND(ROUND(Долги!$D$19-SUM($AL268:$AU268),2)-(SUM($H268:J268)-SUM($AL268:AN268)),2)))</f>
        <v>0.0</v>
      </c>
      <c r="L268" s="31">
        <f>AP268+MIN(V267+AF268-AP268,MAX(0,ROUND(ROUND(Долги!$D$19-SUM($AL268:$AU268),2)-(SUM($H268:K268)-SUM($AL268:AO268)),2)))</f>
        <v>0.0</v>
      </c>
      <c r="M268" s="31">
        <f>AQ268+MIN(W267+AG268-AQ268,MAX(0,ROUND(ROUND(Долги!$D$19-SUM($AL268:$AU268),2)-(SUM($H268:L268)-SUM($AL268:AP268)),2)))</f>
        <v>0.0</v>
      </c>
      <c r="N268" s="31">
        <f>AR268+MIN(X267+AH268-AR268,MAX(0,ROUND(ROUND(Долги!$D$19-SUM($AL268:$AU268),2)-(SUM($H268:M268)-SUM($AL268:AQ268)),2)))</f>
        <v>0.0</v>
      </c>
      <c r="O268" s="31">
        <f>AS268+MIN(Y267+AI268-AS268,MAX(0,ROUND(ROUND(Долги!$D$19-SUM($AL268:$AU268),2)-(SUM($H268:N268)-SUM($AL268:AR268)),2)))</f>
        <v>0.0</v>
      </c>
      <c r="P268" s="31">
        <f>AT268+MIN(Z267+AJ268-AT268,MAX(0,ROUND(ROUND(Долги!$D$19-SUM($AL268:$AU268),2)-(SUM($H268:O268)-SUM($AL268:AS268)),2)))</f>
        <v>0.0</v>
      </c>
      <c r="Q268" s="31">
        <f>AU268+MIN(AA267+AK268-AU268,MAX(0,ROUND(ROUND(Долги!$D$19-SUM($AL268:$AU268),2)-(SUM($H268:P268)-SUM($AL268:AT268)),2)))</f>
        <v>0.0</v>
      </c>
      <c r="R268" s="31">
        <f>IF(R267+AB268-H268&lt;=0.01,0,ROUND(R267+AB268-H268,2))</f>
        <v>0.0</v>
      </c>
      <c r="S268" s="31">
        <f>IF(S267+AC268-I268&lt;=0.01,0,ROUND(S267+AC268-I268,2))</f>
        <v>0.0</v>
      </c>
      <c r="T268" s="31">
        <f>IF(T267+AD268-J268&lt;=0.01,0,ROUND(T267+AD268-J268,2))</f>
        <v>0.0</v>
      </c>
      <c r="U268" s="31">
        <f>IF(U267+AE268-K268&lt;=0.01,0,ROUND(U267+AE268-K268,2))</f>
        <v>0.0</v>
      </c>
      <c r="V268" s="31">
        <f>IF(V267+AF268-L268&lt;=0.01,0,ROUND(V267+AF268-L268,2))</f>
        <v>0.0</v>
      </c>
      <c r="W268" s="31">
        <f>IF(W267+AG268-M268&lt;=0.01,0,ROUND(W267+AG268-M268,2))</f>
        <v>0.0</v>
      </c>
      <c r="X268" s="31">
        <f>IF(X267+AH268-N268&lt;=0.01,0,ROUND(X267+AH268-N268,2))</f>
        <v>0.0</v>
      </c>
      <c r="Y268" s="31">
        <f>IF(Y267+AI268-O268&lt;=0.01,0,ROUND(Y267+AI268-O268,2))</f>
        <v>0.0</v>
      </c>
      <c r="Z268" s="31">
        <f>IF(Z267+AJ268-P268&lt;=0.01,0,ROUND(Z267+AJ268-P268,2))</f>
        <v>0.0</v>
      </c>
      <c r="AA268" s="31">
        <f>IF(AA267+AK268-Q268&lt;=0.01,0,ROUND(AA267+AK268-Q268,2))</f>
        <v>0.0</v>
      </c>
      <c r="AB268" s="31">
        <f>ROUND(R267*AB$5/1200,2)</f>
        <v>0.0</v>
      </c>
      <c r="AC268" s="31">
        <f>ROUND(S267*AC$5/1200,2)</f>
        <v>0.0</v>
      </c>
      <c r="AD268" s="31">
        <f>ROUND(T267*AD$5/1200,2)</f>
        <v>0.0</v>
      </c>
      <c r="AE268" s="31">
        <f>ROUND(U267*AE$5/1200,2)</f>
        <v>0.0</v>
      </c>
      <c r="AF268" s="31">
        <f>ROUND(V267*AF$5/1200,2)</f>
        <v>0.0</v>
      </c>
      <c r="AG268" s="31">
        <f>ROUND(W267*AG$5/1200,2)</f>
        <v>0.0</v>
      </c>
      <c r="AH268" s="31">
        <f>ROUND(X267*AH$5/1200,2)</f>
        <v>0.0</v>
      </c>
      <c r="AI268" s="31">
        <f>ROUND(Y267*AI$5/1200,2)</f>
        <v>0.0</v>
      </c>
      <c r="AJ268" s="31">
        <f>ROUND(Z267*AJ$5/1200,2)</f>
        <v>0.0</v>
      </c>
      <c r="AK268" s="31">
        <f>ROUND(AA267*AK$5/1200,2)</f>
        <v>0.0</v>
      </c>
      <c r="AL268" s="31">
        <f>MIN(AL$5,R267+AB268)</f>
        <v>0.0</v>
      </c>
      <c r="AM268" s="31">
        <f>MIN(AM$5,S267+AC268)</f>
        <v>0.0</v>
      </c>
      <c r="AN268" s="31">
        <f>MIN(AN$5,T267+AD268)</f>
        <v>0.0</v>
      </c>
      <c r="AO268" s="31">
        <f>MIN(AO$5,U267+AE268)</f>
        <v>0.0</v>
      </c>
      <c r="AP268" s="31">
        <f>MIN(AP$5,V267+AF268)</f>
        <v>0.0</v>
      </c>
      <c r="AQ268" s="31">
        <f>MIN(AQ$5,W267+AG268)</f>
        <v>0.0</v>
      </c>
      <c r="AR268" s="31">
        <f>MIN(AR$5,X267+AH268)</f>
        <v>0.0</v>
      </c>
      <c r="AS268" s="31">
        <f>MIN(AS$5,Y267+AI268)</f>
        <v>0.0</v>
      </c>
      <c r="AT268" s="31">
        <f>MIN(AT$5,Z267+AJ268)</f>
        <v>0.0</v>
      </c>
      <c r="AU268" s="31">
        <f>MIN(AU$5,AA267+AK268)</f>
        <v>0.0</v>
      </c>
    </row>
    <row r="269">
      <c r="A269" s="25" t="str">
        <f>IF(F268&gt;0.005,264,"")</f>
        <v/>
      </c>
      <c r="B269" s="33" t="str">
        <f>IF(A269="","",EDATE(Долги!$D$5,263))</f>
        <v/>
      </c>
      <c r="C269" s="31">
        <f>SUM(H269:Q269)</f>
        <v>0.0</v>
      </c>
      <c r="D269" s="31">
        <f>SUM(AB269:AK269)</f>
        <v>0.0</v>
      </c>
      <c r="E269" s="31">
        <f>C269-D269</f>
        <v>0.0</v>
      </c>
      <c r="F269" s="31">
        <f>SUM(R269:AA269)</f>
        <v>0.0</v>
      </c>
      <c r="G269" s="34" t="str">
        <f>IF(OR(A269="",$F$5&lt;=0),"",REPT("█",ROUND(20*F269/$F$5,0)))</f>
        <v/>
      </c>
      <c r="H269" s="31">
        <f>AL269+MIN(R268+AB269-AL269,MAX(0,ROUND(Долги!$D$19-SUM($AL269:$AU269),2)))</f>
        <v>0.0</v>
      </c>
      <c r="I269" s="31">
        <f>AM269+MIN(S268+AC269-AM269,MAX(0,ROUND(ROUND(Долги!$D$19-SUM($AL269:$AU269),2)-(SUM($H269:H269)-SUM($AL269:AL269)),2)))</f>
        <v>0.0</v>
      </c>
      <c r="J269" s="31">
        <f>AN269+MIN(T268+AD269-AN269,MAX(0,ROUND(ROUND(Долги!$D$19-SUM($AL269:$AU269),2)-(SUM($H269:I269)-SUM($AL269:AM269)),2)))</f>
        <v>0.0</v>
      </c>
      <c r="K269" s="31">
        <f>AO269+MIN(U268+AE269-AO269,MAX(0,ROUND(ROUND(Долги!$D$19-SUM($AL269:$AU269),2)-(SUM($H269:J269)-SUM($AL269:AN269)),2)))</f>
        <v>0.0</v>
      </c>
      <c r="L269" s="31">
        <f>AP269+MIN(V268+AF269-AP269,MAX(0,ROUND(ROUND(Долги!$D$19-SUM($AL269:$AU269),2)-(SUM($H269:K269)-SUM($AL269:AO269)),2)))</f>
        <v>0.0</v>
      </c>
      <c r="M269" s="31">
        <f>AQ269+MIN(W268+AG269-AQ269,MAX(0,ROUND(ROUND(Долги!$D$19-SUM($AL269:$AU269),2)-(SUM($H269:L269)-SUM($AL269:AP269)),2)))</f>
        <v>0.0</v>
      </c>
      <c r="N269" s="31">
        <f>AR269+MIN(X268+AH269-AR269,MAX(0,ROUND(ROUND(Долги!$D$19-SUM($AL269:$AU269),2)-(SUM($H269:M269)-SUM($AL269:AQ269)),2)))</f>
        <v>0.0</v>
      </c>
      <c r="O269" s="31">
        <f>AS269+MIN(Y268+AI269-AS269,MAX(0,ROUND(ROUND(Долги!$D$19-SUM($AL269:$AU269),2)-(SUM($H269:N269)-SUM($AL269:AR269)),2)))</f>
        <v>0.0</v>
      </c>
      <c r="P269" s="31">
        <f>AT269+MIN(Z268+AJ269-AT269,MAX(0,ROUND(ROUND(Долги!$D$19-SUM($AL269:$AU269),2)-(SUM($H269:O269)-SUM($AL269:AS269)),2)))</f>
        <v>0.0</v>
      </c>
      <c r="Q269" s="31">
        <f>AU269+MIN(AA268+AK269-AU269,MAX(0,ROUND(ROUND(Долги!$D$19-SUM($AL269:$AU269),2)-(SUM($H269:P269)-SUM($AL269:AT269)),2)))</f>
        <v>0.0</v>
      </c>
      <c r="R269" s="31">
        <f>IF(R268+AB269-H269&lt;=0.01,0,ROUND(R268+AB269-H269,2))</f>
        <v>0.0</v>
      </c>
      <c r="S269" s="31">
        <f>IF(S268+AC269-I269&lt;=0.01,0,ROUND(S268+AC269-I269,2))</f>
        <v>0.0</v>
      </c>
      <c r="T269" s="31">
        <f>IF(T268+AD269-J269&lt;=0.01,0,ROUND(T268+AD269-J269,2))</f>
        <v>0.0</v>
      </c>
      <c r="U269" s="31">
        <f>IF(U268+AE269-K269&lt;=0.01,0,ROUND(U268+AE269-K269,2))</f>
        <v>0.0</v>
      </c>
      <c r="V269" s="31">
        <f>IF(V268+AF269-L269&lt;=0.01,0,ROUND(V268+AF269-L269,2))</f>
        <v>0.0</v>
      </c>
      <c r="W269" s="31">
        <f>IF(W268+AG269-M269&lt;=0.01,0,ROUND(W268+AG269-M269,2))</f>
        <v>0.0</v>
      </c>
      <c r="X269" s="31">
        <f>IF(X268+AH269-N269&lt;=0.01,0,ROUND(X268+AH269-N269,2))</f>
        <v>0.0</v>
      </c>
      <c r="Y269" s="31">
        <f>IF(Y268+AI269-O269&lt;=0.01,0,ROUND(Y268+AI269-O269,2))</f>
        <v>0.0</v>
      </c>
      <c r="Z269" s="31">
        <f>IF(Z268+AJ269-P269&lt;=0.01,0,ROUND(Z268+AJ269-P269,2))</f>
        <v>0.0</v>
      </c>
      <c r="AA269" s="31">
        <f>IF(AA268+AK269-Q269&lt;=0.01,0,ROUND(AA268+AK269-Q269,2))</f>
        <v>0.0</v>
      </c>
      <c r="AB269" s="31">
        <f>ROUND(R268*AB$5/1200,2)</f>
        <v>0.0</v>
      </c>
      <c r="AC269" s="31">
        <f>ROUND(S268*AC$5/1200,2)</f>
        <v>0.0</v>
      </c>
      <c r="AD269" s="31">
        <f>ROUND(T268*AD$5/1200,2)</f>
        <v>0.0</v>
      </c>
      <c r="AE269" s="31">
        <f>ROUND(U268*AE$5/1200,2)</f>
        <v>0.0</v>
      </c>
      <c r="AF269" s="31">
        <f>ROUND(V268*AF$5/1200,2)</f>
        <v>0.0</v>
      </c>
      <c r="AG269" s="31">
        <f>ROUND(W268*AG$5/1200,2)</f>
        <v>0.0</v>
      </c>
      <c r="AH269" s="31">
        <f>ROUND(X268*AH$5/1200,2)</f>
        <v>0.0</v>
      </c>
      <c r="AI269" s="31">
        <f>ROUND(Y268*AI$5/1200,2)</f>
        <v>0.0</v>
      </c>
      <c r="AJ269" s="31">
        <f>ROUND(Z268*AJ$5/1200,2)</f>
        <v>0.0</v>
      </c>
      <c r="AK269" s="31">
        <f>ROUND(AA268*AK$5/1200,2)</f>
        <v>0.0</v>
      </c>
      <c r="AL269" s="31">
        <f>MIN(AL$5,R268+AB269)</f>
        <v>0.0</v>
      </c>
      <c r="AM269" s="31">
        <f>MIN(AM$5,S268+AC269)</f>
        <v>0.0</v>
      </c>
      <c r="AN269" s="31">
        <f>MIN(AN$5,T268+AD269)</f>
        <v>0.0</v>
      </c>
      <c r="AO269" s="31">
        <f>MIN(AO$5,U268+AE269)</f>
        <v>0.0</v>
      </c>
      <c r="AP269" s="31">
        <f>MIN(AP$5,V268+AF269)</f>
        <v>0.0</v>
      </c>
      <c r="AQ269" s="31">
        <f>MIN(AQ$5,W268+AG269)</f>
        <v>0.0</v>
      </c>
      <c r="AR269" s="31">
        <f>MIN(AR$5,X268+AH269)</f>
        <v>0.0</v>
      </c>
      <c r="AS269" s="31">
        <f>MIN(AS$5,Y268+AI269)</f>
        <v>0.0</v>
      </c>
      <c r="AT269" s="31">
        <f>MIN(AT$5,Z268+AJ269)</f>
        <v>0.0</v>
      </c>
      <c r="AU269" s="31">
        <f>MIN(AU$5,AA268+AK269)</f>
        <v>0.0</v>
      </c>
    </row>
    <row r="270">
      <c r="A270" s="25" t="str">
        <f>IF(F269&gt;0.005,265,"")</f>
        <v/>
      </c>
      <c r="B270" s="33" t="str">
        <f>IF(A270="","",EDATE(Долги!$D$5,264))</f>
        <v/>
      </c>
      <c r="C270" s="31">
        <f>SUM(H270:Q270)</f>
        <v>0.0</v>
      </c>
      <c r="D270" s="31">
        <f>SUM(AB270:AK270)</f>
        <v>0.0</v>
      </c>
      <c r="E270" s="31">
        <f>C270-D270</f>
        <v>0.0</v>
      </c>
      <c r="F270" s="31">
        <f>SUM(R270:AA270)</f>
        <v>0.0</v>
      </c>
      <c r="G270" s="34" t="str">
        <f>IF(OR(A270="",$F$5&lt;=0),"",REPT("█",ROUND(20*F270/$F$5,0)))</f>
        <v/>
      </c>
      <c r="H270" s="31">
        <f>AL270+MIN(R269+AB270-AL270,MAX(0,ROUND(Долги!$D$19-SUM($AL270:$AU270),2)))</f>
        <v>0.0</v>
      </c>
      <c r="I270" s="31">
        <f>AM270+MIN(S269+AC270-AM270,MAX(0,ROUND(ROUND(Долги!$D$19-SUM($AL270:$AU270),2)-(SUM($H270:H270)-SUM($AL270:AL270)),2)))</f>
        <v>0.0</v>
      </c>
      <c r="J270" s="31">
        <f>AN270+MIN(T269+AD270-AN270,MAX(0,ROUND(ROUND(Долги!$D$19-SUM($AL270:$AU270),2)-(SUM($H270:I270)-SUM($AL270:AM270)),2)))</f>
        <v>0.0</v>
      </c>
      <c r="K270" s="31">
        <f>AO270+MIN(U269+AE270-AO270,MAX(0,ROUND(ROUND(Долги!$D$19-SUM($AL270:$AU270),2)-(SUM($H270:J270)-SUM($AL270:AN270)),2)))</f>
        <v>0.0</v>
      </c>
      <c r="L270" s="31">
        <f>AP270+MIN(V269+AF270-AP270,MAX(0,ROUND(ROUND(Долги!$D$19-SUM($AL270:$AU270),2)-(SUM($H270:K270)-SUM($AL270:AO270)),2)))</f>
        <v>0.0</v>
      </c>
      <c r="M270" s="31">
        <f>AQ270+MIN(W269+AG270-AQ270,MAX(0,ROUND(ROUND(Долги!$D$19-SUM($AL270:$AU270),2)-(SUM($H270:L270)-SUM($AL270:AP270)),2)))</f>
        <v>0.0</v>
      </c>
      <c r="N270" s="31">
        <f>AR270+MIN(X269+AH270-AR270,MAX(0,ROUND(ROUND(Долги!$D$19-SUM($AL270:$AU270),2)-(SUM($H270:M270)-SUM($AL270:AQ270)),2)))</f>
        <v>0.0</v>
      </c>
      <c r="O270" s="31">
        <f>AS270+MIN(Y269+AI270-AS270,MAX(0,ROUND(ROUND(Долги!$D$19-SUM($AL270:$AU270),2)-(SUM($H270:N270)-SUM($AL270:AR270)),2)))</f>
        <v>0.0</v>
      </c>
      <c r="P270" s="31">
        <f>AT270+MIN(Z269+AJ270-AT270,MAX(0,ROUND(ROUND(Долги!$D$19-SUM($AL270:$AU270),2)-(SUM($H270:O270)-SUM($AL270:AS270)),2)))</f>
        <v>0.0</v>
      </c>
      <c r="Q270" s="31">
        <f>AU270+MIN(AA269+AK270-AU270,MAX(0,ROUND(ROUND(Долги!$D$19-SUM($AL270:$AU270),2)-(SUM($H270:P270)-SUM($AL270:AT270)),2)))</f>
        <v>0.0</v>
      </c>
      <c r="R270" s="31">
        <f>IF(R269+AB270-H270&lt;=0.01,0,ROUND(R269+AB270-H270,2))</f>
        <v>0.0</v>
      </c>
      <c r="S270" s="31">
        <f>IF(S269+AC270-I270&lt;=0.01,0,ROUND(S269+AC270-I270,2))</f>
        <v>0.0</v>
      </c>
      <c r="T270" s="31">
        <f>IF(T269+AD270-J270&lt;=0.01,0,ROUND(T269+AD270-J270,2))</f>
        <v>0.0</v>
      </c>
      <c r="U270" s="31">
        <f>IF(U269+AE270-K270&lt;=0.01,0,ROUND(U269+AE270-K270,2))</f>
        <v>0.0</v>
      </c>
      <c r="V270" s="31">
        <f>IF(V269+AF270-L270&lt;=0.01,0,ROUND(V269+AF270-L270,2))</f>
        <v>0.0</v>
      </c>
      <c r="W270" s="31">
        <f>IF(W269+AG270-M270&lt;=0.01,0,ROUND(W269+AG270-M270,2))</f>
        <v>0.0</v>
      </c>
      <c r="X270" s="31">
        <f>IF(X269+AH270-N270&lt;=0.01,0,ROUND(X269+AH270-N270,2))</f>
        <v>0.0</v>
      </c>
      <c r="Y270" s="31">
        <f>IF(Y269+AI270-O270&lt;=0.01,0,ROUND(Y269+AI270-O270,2))</f>
        <v>0.0</v>
      </c>
      <c r="Z270" s="31">
        <f>IF(Z269+AJ270-P270&lt;=0.01,0,ROUND(Z269+AJ270-P270,2))</f>
        <v>0.0</v>
      </c>
      <c r="AA270" s="31">
        <f>IF(AA269+AK270-Q270&lt;=0.01,0,ROUND(AA269+AK270-Q270,2))</f>
        <v>0.0</v>
      </c>
      <c r="AB270" s="31">
        <f>ROUND(R269*AB$5/1200,2)</f>
        <v>0.0</v>
      </c>
      <c r="AC270" s="31">
        <f>ROUND(S269*AC$5/1200,2)</f>
        <v>0.0</v>
      </c>
      <c r="AD270" s="31">
        <f>ROUND(T269*AD$5/1200,2)</f>
        <v>0.0</v>
      </c>
      <c r="AE270" s="31">
        <f>ROUND(U269*AE$5/1200,2)</f>
        <v>0.0</v>
      </c>
      <c r="AF270" s="31">
        <f>ROUND(V269*AF$5/1200,2)</f>
        <v>0.0</v>
      </c>
      <c r="AG270" s="31">
        <f>ROUND(W269*AG$5/1200,2)</f>
        <v>0.0</v>
      </c>
      <c r="AH270" s="31">
        <f>ROUND(X269*AH$5/1200,2)</f>
        <v>0.0</v>
      </c>
      <c r="AI270" s="31">
        <f>ROUND(Y269*AI$5/1200,2)</f>
        <v>0.0</v>
      </c>
      <c r="AJ270" s="31">
        <f>ROUND(Z269*AJ$5/1200,2)</f>
        <v>0.0</v>
      </c>
      <c r="AK270" s="31">
        <f>ROUND(AA269*AK$5/1200,2)</f>
        <v>0.0</v>
      </c>
      <c r="AL270" s="31">
        <f>MIN(AL$5,R269+AB270)</f>
        <v>0.0</v>
      </c>
      <c r="AM270" s="31">
        <f>MIN(AM$5,S269+AC270)</f>
        <v>0.0</v>
      </c>
      <c r="AN270" s="31">
        <f>MIN(AN$5,T269+AD270)</f>
        <v>0.0</v>
      </c>
      <c r="AO270" s="31">
        <f>MIN(AO$5,U269+AE270)</f>
        <v>0.0</v>
      </c>
      <c r="AP270" s="31">
        <f>MIN(AP$5,V269+AF270)</f>
        <v>0.0</v>
      </c>
      <c r="AQ270" s="31">
        <f>MIN(AQ$5,W269+AG270)</f>
        <v>0.0</v>
      </c>
      <c r="AR270" s="31">
        <f>MIN(AR$5,X269+AH270)</f>
        <v>0.0</v>
      </c>
      <c r="AS270" s="31">
        <f>MIN(AS$5,Y269+AI270)</f>
        <v>0.0</v>
      </c>
      <c r="AT270" s="31">
        <f>MIN(AT$5,Z269+AJ270)</f>
        <v>0.0</v>
      </c>
      <c r="AU270" s="31">
        <f>MIN(AU$5,AA269+AK270)</f>
        <v>0.0</v>
      </c>
    </row>
    <row r="271">
      <c r="A271" s="25" t="str">
        <f>IF(F270&gt;0.005,266,"")</f>
        <v/>
      </c>
      <c r="B271" s="33" t="str">
        <f>IF(A271="","",EDATE(Долги!$D$5,265))</f>
        <v/>
      </c>
      <c r="C271" s="31">
        <f>SUM(H271:Q271)</f>
        <v>0.0</v>
      </c>
      <c r="D271" s="31">
        <f>SUM(AB271:AK271)</f>
        <v>0.0</v>
      </c>
      <c r="E271" s="31">
        <f>C271-D271</f>
        <v>0.0</v>
      </c>
      <c r="F271" s="31">
        <f>SUM(R271:AA271)</f>
        <v>0.0</v>
      </c>
      <c r="G271" s="34" t="str">
        <f>IF(OR(A271="",$F$5&lt;=0),"",REPT("█",ROUND(20*F271/$F$5,0)))</f>
        <v/>
      </c>
      <c r="H271" s="31">
        <f>AL271+MIN(R270+AB271-AL271,MAX(0,ROUND(Долги!$D$19-SUM($AL271:$AU271),2)))</f>
        <v>0.0</v>
      </c>
      <c r="I271" s="31">
        <f>AM271+MIN(S270+AC271-AM271,MAX(0,ROUND(ROUND(Долги!$D$19-SUM($AL271:$AU271),2)-(SUM($H271:H271)-SUM($AL271:AL271)),2)))</f>
        <v>0.0</v>
      </c>
      <c r="J271" s="31">
        <f>AN271+MIN(T270+AD271-AN271,MAX(0,ROUND(ROUND(Долги!$D$19-SUM($AL271:$AU271),2)-(SUM($H271:I271)-SUM($AL271:AM271)),2)))</f>
        <v>0.0</v>
      </c>
      <c r="K271" s="31">
        <f>AO271+MIN(U270+AE271-AO271,MAX(0,ROUND(ROUND(Долги!$D$19-SUM($AL271:$AU271),2)-(SUM($H271:J271)-SUM($AL271:AN271)),2)))</f>
        <v>0.0</v>
      </c>
      <c r="L271" s="31">
        <f>AP271+MIN(V270+AF271-AP271,MAX(0,ROUND(ROUND(Долги!$D$19-SUM($AL271:$AU271),2)-(SUM($H271:K271)-SUM($AL271:AO271)),2)))</f>
        <v>0.0</v>
      </c>
      <c r="M271" s="31">
        <f>AQ271+MIN(W270+AG271-AQ271,MAX(0,ROUND(ROUND(Долги!$D$19-SUM($AL271:$AU271),2)-(SUM($H271:L271)-SUM($AL271:AP271)),2)))</f>
        <v>0.0</v>
      </c>
      <c r="N271" s="31">
        <f>AR271+MIN(X270+AH271-AR271,MAX(0,ROUND(ROUND(Долги!$D$19-SUM($AL271:$AU271),2)-(SUM($H271:M271)-SUM($AL271:AQ271)),2)))</f>
        <v>0.0</v>
      </c>
      <c r="O271" s="31">
        <f>AS271+MIN(Y270+AI271-AS271,MAX(0,ROUND(ROUND(Долги!$D$19-SUM($AL271:$AU271),2)-(SUM($H271:N271)-SUM($AL271:AR271)),2)))</f>
        <v>0.0</v>
      </c>
      <c r="P271" s="31">
        <f>AT271+MIN(Z270+AJ271-AT271,MAX(0,ROUND(ROUND(Долги!$D$19-SUM($AL271:$AU271),2)-(SUM($H271:O271)-SUM($AL271:AS271)),2)))</f>
        <v>0.0</v>
      </c>
      <c r="Q271" s="31">
        <f>AU271+MIN(AA270+AK271-AU271,MAX(0,ROUND(ROUND(Долги!$D$19-SUM($AL271:$AU271),2)-(SUM($H271:P271)-SUM($AL271:AT271)),2)))</f>
        <v>0.0</v>
      </c>
      <c r="R271" s="31">
        <f>IF(R270+AB271-H271&lt;=0.01,0,ROUND(R270+AB271-H271,2))</f>
        <v>0.0</v>
      </c>
      <c r="S271" s="31">
        <f>IF(S270+AC271-I271&lt;=0.01,0,ROUND(S270+AC271-I271,2))</f>
        <v>0.0</v>
      </c>
      <c r="T271" s="31">
        <f>IF(T270+AD271-J271&lt;=0.01,0,ROUND(T270+AD271-J271,2))</f>
        <v>0.0</v>
      </c>
      <c r="U271" s="31">
        <f>IF(U270+AE271-K271&lt;=0.01,0,ROUND(U270+AE271-K271,2))</f>
        <v>0.0</v>
      </c>
      <c r="V271" s="31">
        <f>IF(V270+AF271-L271&lt;=0.01,0,ROUND(V270+AF271-L271,2))</f>
        <v>0.0</v>
      </c>
      <c r="W271" s="31">
        <f>IF(W270+AG271-M271&lt;=0.01,0,ROUND(W270+AG271-M271,2))</f>
        <v>0.0</v>
      </c>
      <c r="X271" s="31">
        <f>IF(X270+AH271-N271&lt;=0.01,0,ROUND(X270+AH271-N271,2))</f>
        <v>0.0</v>
      </c>
      <c r="Y271" s="31">
        <f>IF(Y270+AI271-O271&lt;=0.01,0,ROUND(Y270+AI271-O271,2))</f>
        <v>0.0</v>
      </c>
      <c r="Z271" s="31">
        <f>IF(Z270+AJ271-P271&lt;=0.01,0,ROUND(Z270+AJ271-P271,2))</f>
        <v>0.0</v>
      </c>
      <c r="AA271" s="31">
        <f>IF(AA270+AK271-Q271&lt;=0.01,0,ROUND(AA270+AK271-Q271,2))</f>
        <v>0.0</v>
      </c>
      <c r="AB271" s="31">
        <f>ROUND(R270*AB$5/1200,2)</f>
        <v>0.0</v>
      </c>
      <c r="AC271" s="31">
        <f>ROUND(S270*AC$5/1200,2)</f>
        <v>0.0</v>
      </c>
      <c r="AD271" s="31">
        <f>ROUND(T270*AD$5/1200,2)</f>
        <v>0.0</v>
      </c>
      <c r="AE271" s="31">
        <f>ROUND(U270*AE$5/1200,2)</f>
        <v>0.0</v>
      </c>
      <c r="AF271" s="31">
        <f>ROUND(V270*AF$5/1200,2)</f>
        <v>0.0</v>
      </c>
      <c r="AG271" s="31">
        <f>ROUND(W270*AG$5/1200,2)</f>
        <v>0.0</v>
      </c>
      <c r="AH271" s="31">
        <f>ROUND(X270*AH$5/1200,2)</f>
        <v>0.0</v>
      </c>
      <c r="AI271" s="31">
        <f>ROUND(Y270*AI$5/1200,2)</f>
        <v>0.0</v>
      </c>
      <c r="AJ271" s="31">
        <f>ROUND(Z270*AJ$5/1200,2)</f>
        <v>0.0</v>
      </c>
      <c r="AK271" s="31">
        <f>ROUND(AA270*AK$5/1200,2)</f>
        <v>0.0</v>
      </c>
      <c r="AL271" s="31">
        <f>MIN(AL$5,R270+AB271)</f>
        <v>0.0</v>
      </c>
      <c r="AM271" s="31">
        <f>MIN(AM$5,S270+AC271)</f>
        <v>0.0</v>
      </c>
      <c r="AN271" s="31">
        <f>MIN(AN$5,T270+AD271)</f>
        <v>0.0</v>
      </c>
      <c r="AO271" s="31">
        <f>MIN(AO$5,U270+AE271)</f>
        <v>0.0</v>
      </c>
      <c r="AP271" s="31">
        <f>MIN(AP$5,V270+AF271)</f>
        <v>0.0</v>
      </c>
      <c r="AQ271" s="31">
        <f>MIN(AQ$5,W270+AG271)</f>
        <v>0.0</v>
      </c>
      <c r="AR271" s="31">
        <f>MIN(AR$5,X270+AH271)</f>
        <v>0.0</v>
      </c>
      <c r="AS271" s="31">
        <f>MIN(AS$5,Y270+AI271)</f>
        <v>0.0</v>
      </c>
      <c r="AT271" s="31">
        <f>MIN(AT$5,Z270+AJ271)</f>
        <v>0.0</v>
      </c>
      <c r="AU271" s="31">
        <f>MIN(AU$5,AA270+AK271)</f>
        <v>0.0</v>
      </c>
    </row>
    <row r="272">
      <c r="A272" s="25" t="str">
        <f>IF(F271&gt;0.005,267,"")</f>
        <v/>
      </c>
      <c r="B272" s="33" t="str">
        <f>IF(A272="","",EDATE(Долги!$D$5,266))</f>
        <v/>
      </c>
      <c r="C272" s="31">
        <f>SUM(H272:Q272)</f>
        <v>0.0</v>
      </c>
      <c r="D272" s="31">
        <f>SUM(AB272:AK272)</f>
        <v>0.0</v>
      </c>
      <c r="E272" s="31">
        <f>C272-D272</f>
        <v>0.0</v>
      </c>
      <c r="F272" s="31">
        <f>SUM(R272:AA272)</f>
        <v>0.0</v>
      </c>
      <c r="G272" s="34" t="str">
        <f>IF(OR(A272="",$F$5&lt;=0),"",REPT("█",ROUND(20*F272/$F$5,0)))</f>
        <v/>
      </c>
      <c r="H272" s="31">
        <f>AL272+MIN(R271+AB272-AL272,MAX(0,ROUND(Долги!$D$19-SUM($AL272:$AU272),2)))</f>
        <v>0.0</v>
      </c>
      <c r="I272" s="31">
        <f>AM272+MIN(S271+AC272-AM272,MAX(0,ROUND(ROUND(Долги!$D$19-SUM($AL272:$AU272),2)-(SUM($H272:H272)-SUM($AL272:AL272)),2)))</f>
        <v>0.0</v>
      </c>
      <c r="J272" s="31">
        <f>AN272+MIN(T271+AD272-AN272,MAX(0,ROUND(ROUND(Долги!$D$19-SUM($AL272:$AU272),2)-(SUM($H272:I272)-SUM($AL272:AM272)),2)))</f>
        <v>0.0</v>
      </c>
      <c r="K272" s="31">
        <f>AO272+MIN(U271+AE272-AO272,MAX(0,ROUND(ROUND(Долги!$D$19-SUM($AL272:$AU272),2)-(SUM($H272:J272)-SUM($AL272:AN272)),2)))</f>
        <v>0.0</v>
      </c>
      <c r="L272" s="31">
        <f>AP272+MIN(V271+AF272-AP272,MAX(0,ROUND(ROUND(Долги!$D$19-SUM($AL272:$AU272),2)-(SUM($H272:K272)-SUM($AL272:AO272)),2)))</f>
        <v>0.0</v>
      </c>
      <c r="M272" s="31">
        <f>AQ272+MIN(W271+AG272-AQ272,MAX(0,ROUND(ROUND(Долги!$D$19-SUM($AL272:$AU272),2)-(SUM($H272:L272)-SUM($AL272:AP272)),2)))</f>
        <v>0.0</v>
      </c>
      <c r="N272" s="31">
        <f>AR272+MIN(X271+AH272-AR272,MAX(0,ROUND(ROUND(Долги!$D$19-SUM($AL272:$AU272),2)-(SUM($H272:M272)-SUM($AL272:AQ272)),2)))</f>
        <v>0.0</v>
      </c>
      <c r="O272" s="31">
        <f>AS272+MIN(Y271+AI272-AS272,MAX(0,ROUND(ROUND(Долги!$D$19-SUM($AL272:$AU272),2)-(SUM($H272:N272)-SUM($AL272:AR272)),2)))</f>
        <v>0.0</v>
      </c>
      <c r="P272" s="31">
        <f>AT272+MIN(Z271+AJ272-AT272,MAX(0,ROUND(ROUND(Долги!$D$19-SUM($AL272:$AU272),2)-(SUM($H272:O272)-SUM($AL272:AS272)),2)))</f>
        <v>0.0</v>
      </c>
      <c r="Q272" s="31">
        <f>AU272+MIN(AA271+AK272-AU272,MAX(0,ROUND(ROUND(Долги!$D$19-SUM($AL272:$AU272),2)-(SUM($H272:P272)-SUM($AL272:AT272)),2)))</f>
        <v>0.0</v>
      </c>
      <c r="R272" s="31">
        <f>IF(R271+AB272-H272&lt;=0.01,0,ROUND(R271+AB272-H272,2))</f>
        <v>0.0</v>
      </c>
      <c r="S272" s="31">
        <f>IF(S271+AC272-I272&lt;=0.01,0,ROUND(S271+AC272-I272,2))</f>
        <v>0.0</v>
      </c>
      <c r="T272" s="31">
        <f>IF(T271+AD272-J272&lt;=0.01,0,ROUND(T271+AD272-J272,2))</f>
        <v>0.0</v>
      </c>
      <c r="U272" s="31">
        <f>IF(U271+AE272-K272&lt;=0.01,0,ROUND(U271+AE272-K272,2))</f>
        <v>0.0</v>
      </c>
      <c r="V272" s="31">
        <f>IF(V271+AF272-L272&lt;=0.01,0,ROUND(V271+AF272-L272,2))</f>
        <v>0.0</v>
      </c>
      <c r="W272" s="31">
        <f>IF(W271+AG272-M272&lt;=0.01,0,ROUND(W271+AG272-M272,2))</f>
        <v>0.0</v>
      </c>
      <c r="X272" s="31">
        <f>IF(X271+AH272-N272&lt;=0.01,0,ROUND(X271+AH272-N272,2))</f>
        <v>0.0</v>
      </c>
      <c r="Y272" s="31">
        <f>IF(Y271+AI272-O272&lt;=0.01,0,ROUND(Y271+AI272-O272,2))</f>
        <v>0.0</v>
      </c>
      <c r="Z272" s="31">
        <f>IF(Z271+AJ272-P272&lt;=0.01,0,ROUND(Z271+AJ272-P272,2))</f>
        <v>0.0</v>
      </c>
      <c r="AA272" s="31">
        <f>IF(AA271+AK272-Q272&lt;=0.01,0,ROUND(AA271+AK272-Q272,2))</f>
        <v>0.0</v>
      </c>
      <c r="AB272" s="31">
        <f>ROUND(R271*AB$5/1200,2)</f>
        <v>0.0</v>
      </c>
      <c r="AC272" s="31">
        <f>ROUND(S271*AC$5/1200,2)</f>
        <v>0.0</v>
      </c>
      <c r="AD272" s="31">
        <f>ROUND(T271*AD$5/1200,2)</f>
        <v>0.0</v>
      </c>
      <c r="AE272" s="31">
        <f>ROUND(U271*AE$5/1200,2)</f>
        <v>0.0</v>
      </c>
      <c r="AF272" s="31">
        <f>ROUND(V271*AF$5/1200,2)</f>
        <v>0.0</v>
      </c>
      <c r="AG272" s="31">
        <f>ROUND(W271*AG$5/1200,2)</f>
        <v>0.0</v>
      </c>
      <c r="AH272" s="31">
        <f>ROUND(X271*AH$5/1200,2)</f>
        <v>0.0</v>
      </c>
      <c r="AI272" s="31">
        <f>ROUND(Y271*AI$5/1200,2)</f>
        <v>0.0</v>
      </c>
      <c r="AJ272" s="31">
        <f>ROUND(Z271*AJ$5/1200,2)</f>
        <v>0.0</v>
      </c>
      <c r="AK272" s="31">
        <f>ROUND(AA271*AK$5/1200,2)</f>
        <v>0.0</v>
      </c>
      <c r="AL272" s="31">
        <f>MIN(AL$5,R271+AB272)</f>
        <v>0.0</v>
      </c>
      <c r="AM272" s="31">
        <f>MIN(AM$5,S271+AC272)</f>
        <v>0.0</v>
      </c>
      <c r="AN272" s="31">
        <f>MIN(AN$5,T271+AD272)</f>
        <v>0.0</v>
      </c>
      <c r="AO272" s="31">
        <f>MIN(AO$5,U271+AE272)</f>
        <v>0.0</v>
      </c>
      <c r="AP272" s="31">
        <f>MIN(AP$5,V271+AF272)</f>
        <v>0.0</v>
      </c>
      <c r="AQ272" s="31">
        <f>MIN(AQ$5,W271+AG272)</f>
        <v>0.0</v>
      </c>
      <c r="AR272" s="31">
        <f>MIN(AR$5,X271+AH272)</f>
        <v>0.0</v>
      </c>
      <c r="AS272" s="31">
        <f>MIN(AS$5,Y271+AI272)</f>
        <v>0.0</v>
      </c>
      <c r="AT272" s="31">
        <f>MIN(AT$5,Z271+AJ272)</f>
        <v>0.0</v>
      </c>
      <c r="AU272" s="31">
        <f>MIN(AU$5,AA271+AK272)</f>
        <v>0.0</v>
      </c>
    </row>
    <row r="273">
      <c r="A273" s="25" t="str">
        <f>IF(F272&gt;0.005,268,"")</f>
        <v/>
      </c>
      <c r="B273" s="33" t="str">
        <f>IF(A273="","",EDATE(Долги!$D$5,267))</f>
        <v/>
      </c>
      <c r="C273" s="31">
        <f>SUM(H273:Q273)</f>
        <v>0.0</v>
      </c>
      <c r="D273" s="31">
        <f>SUM(AB273:AK273)</f>
        <v>0.0</v>
      </c>
      <c r="E273" s="31">
        <f>C273-D273</f>
        <v>0.0</v>
      </c>
      <c r="F273" s="31">
        <f>SUM(R273:AA273)</f>
        <v>0.0</v>
      </c>
      <c r="G273" s="34" t="str">
        <f>IF(OR(A273="",$F$5&lt;=0),"",REPT("█",ROUND(20*F273/$F$5,0)))</f>
        <v/>
      </c>
      <c r="H273" s="31">
        <f>AL273+MIN(R272+AB273-AL273,MAX(0,ROUND(Долги!$D$19-SUM($AL273:$AU273),2)))</f>
        <v>0.0</v>
      </c>
      <c r="I273" s="31">
        <f>AM273+MIN(S272+AC273-AM273,MAX(0,ROUND(ROUND(Долги!$D$19-SUM($AL273:$AU273),2)-(SUM($H273:H273)-SUM($AL273:AL273)),2)))</f>
        <v>0.0</v>
      </c>
      <c r="J273" s="31">
        <f>AN273+MIN(T272+AD273-AN273,MAX(0,ROUND(ROUND(Долги!$D$19-SUM($AL273:$AU273),2)-(SUM($H273:I273)-SUM($AL273:AM273)),2)))</f>
        <v>0.0</v>
      </c>
      <c r="K273" s="31">
        <f>AO273+MIN(U272+AE273-AO273,MAX(0,ROUND(ROUND(Долги!$D$19-SUM($AL273:$AU273),2)-(SUM($H273:J273)-SUM($AL273:AN273)),2)))</f>
        <v>0.0</v>
      </c>
      <c r="L273" s="31">
        <f>AP273+MIN(V272+AF273-AP273,MAX(0,ROUND(ROUND(Долги!$D$19-SUM($AL273:$AU273),2)-(SUM($H273:K273)-SUM($AL273:AO273)),2)))</f>
        <v>0.0</v>
      </c>
      <c r="M273" s="31">
        <f>AQ273+MIN(W272+AG273-AQ273,MAX(0,ROUND(ROUND(Долги!$D$19-SUM($AL273:$AU273),2)-(SUM($H273:L273)-SUM($AL273:AP273)),2)))</f>
        <v>0.0</v>
      </c>
      <c r="N273" s="31">
        <f>AR273+MIN(X272+AH273-AR273,MAX(0,ROUND(ROUND(Долги!$D$19-SUM($AL273:$AU273),2)-(SUM($H273:M273)-SUM($AL273:AQ273)),2)))</f>
        <v>0.0</v>
      </c>
      <c r="O273" s="31">
        <f>AS273+MIN(Y272+AI273-AS273,MAX(0,ROUND(ROUND(Долги!$D$19-SUM($AL273:$AU273),2)-(SUM($H273:N273)-SUM($AL273:AR273)),2)))</f>
        <v>0.0</v>
      </c>
      <c r="P273" s="31">
        <f>AT273+MIN(Z272+AJ273-AT273,MAX(0,ROUND(ROUND(Долги!$D$19-SUM($AL273:$AU273),2)-(SUM($H273:O273)-SUM($AL273:AS273)),2)))</f>
        <v>0.0</v>
      </c>
      <c r="Q273" s="31">
        <f>AU273+MIN(AA272+AK273-AU273,MAX(0,ROUND(ROUND(Долги!$D$19-SUM($AL273:$AU273),2)-(SUM($H273:P273)-SUM($AL273:AT273)),2)))</f>
        <v>0.0</v>
      </c>
      <c r="R273" s="31">
        <f>IF(R272+AB273-H273&lt;=0.01,0,ROUND(R272+AB273-H273,2))</f>
        <v>0.0</v>
      </c>
      <c r="S273" s="31">
        <f>IF(S272+AC273-I273&lt;=0.01,0,ROUND(S272+AC273-I273,2))</f>
        <v>0.0</v>
      </c>
      <c r="T273" s="31">
        <f>IF(T272+AD273-J273&lt;=0.01,0,ROUND(T272+AD273-J273,2))</f>
        <v>0.0</v>
      </c>
      <c r="U273" s="31">
        <f>IF(U272+AE273-K273&lt;=0.01,0,ROUND(U272+AE273-K273,2))</f>
        <v>0.0</v>
      </c>
      <c r="V273" s="31">
        <f>IF(V272+AF273-L273&lt;=0.01,0,ROUND(V272+AF273-L273,2))</f>
        <v>0.0</v>
      </c>
      <c r="W273" s="31">
        <f>IF(W272+AG273-M273&lt;=0.01,0,ROUND(W272+AG273-M273,2))</f>
        <v>0.0</v>
      </c>
      <c r="X273" s="31">
        <f>IF(X272+AH273-N273&lt;=0.01,0,ROUND(X272+AH273-N273,2))</f>
        <v>0.0</v>
      </c>
      <c r="Y273" s="31">
        <f>IF(Y272+AI273-O273&lt;=0.01,0,ROUND(Y272+AI273-O273,2))</f>
        <v>0.0</v>
      </c>
      <c r="Z273" s="31">
        <f>IF(Z272+AJ273-P273&lt;=0.01,0,ROUND(Z272+AJ273-P273,2))</f>
        <v>0.0</v>
      </c>
      <c r="AA273" s="31">
        <f>IF(AA272+AK273-Q273&lt;=0.01,0,ROUND(AA272+AK273-Q273,2))</f>
        <v>0.0</v>
      </c>
      <c r="AB273" s="31">
        <f>ROUND(R272*AB$5/1200,2)</f>
        <v>0.0</v>
      </c>
      <c r="AC273" s="31">
        <f>ROUND(S272*AC$5/1200,2)</f>
        <v>0.0</v>
      </c>
      <c r="AD273" s="31">
        <f>ROUND(T272*AD$5/1200,2)</f>
        <v>0.0</v>
      </c>
      <c r="AE273" s="31">
        <f>ROUND(U272*AE$5/1200,2)</f>
        <v>0.0</v>
      </c>
      <c r="AF273" s="31">
        <f>ROUND(V272*AF$5/1200,2)</f>
        <v>0.0</v>
      </c>
      <c r="AG273" s="31">
        <f>ROUND(W272*AG$5/1200,2)</f>
        <v>0.0</v>
      </c>
      <c r="AH273" s="31">
        <f>ROUND(X272*AH$5/1200,2)</f>
        <v>0.0</v>
      </c>
      <c r="AI273" s="31">
        <f>ROUND(Y272*AI$5/1200,2)</f>
        <v>0.0</v>
      </c>
      <c r="AJ273" s="31">
        <f>ROUND(Z272*AJ$5/1200,2)</f>
        <v>0.0</v>
      </c>
      <c r="AK273" s="31">
        <f>ROUND(AA272*AK$5/1200,2)</f>
        <v>0.0</v>
      </c>
      <c r="AL273" s="31">
        <f>MIN(AL$5,R272+AB273)</f>
        <v>0.0</v>
      </c>
      <c r="AM273" s="31">
        <f>MIN(AM$5,S272+AC273)</f>
        <v>0.0</v>
      </c>
      <c r="AN273" s="31">
        <f>MIN(AN$5,T272+AD273)</f>
        <v>0.0</v>
      </c>
      <c r="AO273" s="31">
        <f>MIN(AO$5,U272+AE273)</f>
        <v>0.0</v>
      </c>
      <c r="AP273" s="31">
        <f>MIN(AP$5,V272+AF273)</f>
        <v>0.0</v>
      </c>
      <c r="AQ273" s="31">
        <f>MIN(AQ$5,W272+AG273)</f>
        <v>0.0</v>
      </c>
      <c r="AR273" s="31">
        <f>MIN(AR$5,X272+AH273)</f>
        <v>0.0</v>
      </c>
      <c r="AS273" s="31">
        <f>MIN(AS$5,Y272+AI273)</f>
        <v>0.0</v>
      </c>
      <c r="AT273" s="31">
        <f>MIN(AT$5,Z272+AJ273)</f>
        <v>0.0</v>
      </c>
      <c r="AU273" s="31">
        <f>MIN(AU$5,AA272+AK273)</f>
        <v>0.0</v>
      </c>
    </row>
    <row r="274">
      <c r="A274" s="25" t="str">
        <f>IF(F273&gt;0.005,269,"")</f>
        <v/>
      </c>
      <c r="B274" s="33" t="str">
        <f>IF(A274="","",EDATE(Долги!$D$5,268))</f>
        <v/>
      </c>
      <c r="C274" s="31">
        <f>SUM(H274:Q274)</f>
        <v>0.0</v>
      </c>
      <c r="D274" s="31">
        <f>SUM(AB274:AK274)</f>
        <v>0.0</v>
      </c>
      <c r="E274" s="31">
        <f>C274-D274</f>
        <v>0.0</v>
      </c>
      <c r="F274" s="31">
        <f>SUM(R274:AA274)</f>
        <v>0.0</v>
      </c>
      <c r="G274" s="34" t="str">
        <f>IF(OR(A274="",$F$5&lt;=0),"",REPT("█",ROUND(20*F274/$F$5,0)))</f>
        <v/>
      </c>
      <c r="H274" s="31">
        <f>AL274+MIN(R273+AB274-AL274,MAX(0,ROUND(Долги!$D$19-SUM($AL274:$AU274),2)))</f>
        <v>0.0</v>
      </c>
      <c r="I274" s="31">
        <f>AM274+MIN(S273+AC274-AM274,MAX(0,ROUND(ROUND(Долги!$D$19-SUM($AL274:$AU274),2)-(SUM($H274:H274)-SUM($AL274:AL274)),2)))</f>
        <v>0.0</v>
      </c>
      <c r="J274" s="31">
        <f>AN274+MIN(T273+AD274-AN274,MAX(0,ROUND(ROUND(Долги!$D$19-SUM($AL274:$AU274),2)-(SUM($H274:I274)-SUM($AL274:AM274)),2)))</f>
        <v>0.0</v>
      </c>
      <c r="K274" s="31">
        <f>AO274+MIN(U273+AE274-AO274,MAX(0,ROUND(ROUND(Долги!$D$19-SUM($AL274:$AU274),2)-(SUM($H274:J274)-SUM($AL274:AN274)),2)))</f>
        <v>0.0</v>
      </c>
      <c r="L274" s="31">
        <f>AP274+MIN(V273+AF274-AP274,MAX(0,ROUND(ROUND(Долги!$D$19-SUM($AL274:$AU274),2)-(SUM($H274:K274)-SUM($AL274:AO274)),2)))</f>
        <v>0.0</v>
      </c>
      <c r="M274" s="31">
        <f>AQ274+MIN(W273+AG274-AQ274,MAX(0,ROUND(ROUND(Долги!$D$19-SUM($AL274:$AU274),2)-(SUM($H274:L274)-SUM($AL274:AP274)),2)))</f>
        <v>0.0</v>
      </c>
      <c r="N274" s="31">
        <f>AR274+MIN(X273+AH274-AR274,MAX(0,ROUND(ROUND(Долги!$D$19-SUM($AL274:$AU274),2)-(SUM($H274:M274)-SUM($AL274:AQ274)),2)))</f>
        <v>0.0</v>
      </c>
      <c r="O274" s="31">
        <f>AS274+MIN(Y273+AI274-AS274,MAX(0,ROUND(ROUND(Долги!$D$19-SUM($AL274:$AU274),2)-(SUM($H274:N274)-SUM($AL274:AR274)),2)))</f>
        <v>0.0</v>
      </c>
      <c r="P274" s="31">
        <f>AT274+MIN(Z273+AJ274-AT274,MAX(0,ROUND(ROUND(Долги!$D$19-SUM($AL274:$AU274),2)-(SUM($H274:O274)-SUM($AL274:AS274)),2)))</f>
        <v>0.0</v>
      </c>
      <c r="Q274" s="31">
        <f>AU274+MIN(AA273+AK274-AU274,MAX(0,ROUND(ROUND(Долги!$D$19-SUM($AL274:$AU274),2)-(SUM($H274:P274)-SUM($AL274:AT274)),2)))</f>
        <v>0.0</v>
      </c>
      <c r="R274" s="31">
        <f>IF(R273+AB274-H274&lt;=0.01,0,ROUND(R273+AB274-H274,2))</f>
        <v>0.0</v>
      </c>
      <c r="S274" s="31">
        <f>IF(S273+AC274-I274&lt;=0.01,0,ROUND(S273+AC274-I274,2))</f>
        <v>0.0</v>
      </c>
      <c r="T274" s="31">
        <f>IF(T273+AD274-J274&lt;=0.01,0,ROUND(T273+AD274-J274,2))</f>
        <v>0.0</v>
      </c>
      <c r="U274" s="31">
        <f>IF(U273+AE274-K274&lt;=0.01,0,ROUND(U273+AE274-K274,2))</f>
        <v>0.0</v>
      </c>
      <c r="V274" s="31">
        <f>IF(V273+AF274-L274&lt;=0.01,0,ROUND(V273+AF274-L274,2))</f>
        <v>0.0</v>
      </c>
      <c r="W274" s="31">
        <f>IF(W273+AG274-M274&lt;=0.01,0,ROUND(W273+AG274-M274,2))</f>
        <v>0.0</v>
      </c>
      <c r="X274" s="31">
        <f>IF(X273+AH274-N274&lt;=0.01,0,ROUND(X273+AH274-N274,2))</f>
        <v>0.0</v>
      </c>
      <c r="Y274" s="31">
        <f>IF(Y273+AI274-O274&lt;=0.01,0,ROUND(Y273+AI274-O274,2))</f>
        <v>0.0</v>
      </c>
      <c r="Z274" s="31">
        <f>IF(Z273+AJ274-P274&lt;=0.01,0,ROUND(Z273+AJ274-P274,2))</f>
        <v>0.0</v>
      </c>
      <c r="AA274" s="31">
        <f>IF(AA273+AK274-Q274&lt;=0.01,0,ROUND(AA273+AK274-Q274,2))</f>
        <v>0.0</v>
      </c>
      <c r="AB274" s="31">
        <f>ROUND(R273*AB$5/1200,2)</f>
        <v>0.0</v>
      </c>
      <c r="AC274" s="31">
        <f>ROUND(S273*AC$5/1200,2)</f>
        <v>0.0</v>
      </c>
      <c r="AD274" s="31">
        <f>ROUND(T273*AD$5/1200,2)</f>
        <v>0.0</v>
      </c>
      <c r="AE274" s="31">
        <f>ROUND(U273*AE$5/1200,2)</f>
        <v>0.0</v>
      </c>
      <c r="AF274" s="31">
        <f>ROUND(V273*AF$5/1200,2)</f>
        <v>0.0</v>
      </c>
      <c r="AG274" s="31">
        <f>ROUND(W273*AG$5/1200,2)</f>
        <v>0.0</v>
      </c>
      <c r="AH274" s="31">
        <f>ROUND(X273*AH$5/1200,2)</f>
        <v>0.0</v>
      </c>
      <c r="AI274" s="31">
        <f>ROUND(Y273*AI$5/1200,2)</f>
        <v>0.0</v>
      </c>
      <c r="AJ274" s="31">
        <f>ROUND(Z273*AJ$5/1200,2)</f>
        <v>0.0</v>
      </c>
      <c r="AK274" s="31">
        <f>ROUND(AA273*AK$5/1200,2)</f>
        <v>0.0</v>
      </c>
      <c r="AL274" s="31">
        <f>MIN(AL$5,R273+AB274)</f>
        <v>0.0</v>
      </c>
      <c r="AM274" s="31">
        <f>MIN(AM$5,S273+AC274)</f>
        <v>0.0</v>
      </c>
      <c r="AN274" s="31">
        <f>MIN(AN$5,T273+AD274)</f>
        <v>0.0</v>
      </c>
      <c r="AO274" s="31">
        <f>MIN(AO$5,U273+AE274)</f>
        <v>0.0</v>
      </c>
      <c r="AP274" s="31">
        <f>MIN(AP$5,V273+AF274)</f>
        <v>0.0</v>
      </c>
      <c r="AQ274" s="31">
        <f>MIN(AQ$5,W273+AG274)</f>
        <v>0.0</v>
      </c>
      <c r="AR274" s="31">
        <f>MIN(AR$5,X273+AH274)</f>
        <v>0.0</v>
      </c>
      <c r="AS274" s="31">
        <f>MIN(AS$5,Y273+AI274)</f>
        <v>0.0</v>
      </c>
      <c r="AT274" s="31">
        <f>MIN(AT$5,Z273+AJ274)</f>
        <v>0.0</v>
      </c>
      <c r="AU274" s="31">
        <f>MIN(AU$5,AA273+AK274)</f>
        <v>0.0</v>
      </c>
    </row>
    <row r="275">
      <c r="A275" s="25" t="str">
        <f>IF(F274&gt;0.005,270,"")</f>
        <v/>
      </c>
      <c r="B275" s="33" t="str">
        <f>IF(A275="","",EDATE(Долги!$D$5,269))</f>
        <v/>
      </c>
      <c r="C275" s="31">
        <f>SUM(H275:Q275)</f>
        <v>0.0</v>
      </c>
      <c r="D275" s="31">
        <f>SUM(AB275:AK275)</f>
        <v>0.0</v>
      </c>
      <c r="E275" s="31">
        <f>C275-D275</f>
        <v>0.0</v>
      </c>
      <c r="F275" s="31">
        <f>SUM(R275:AA275)</f>
        <v>0.0</v>
      </c>
      <c r="G275" s="34" t="str">
        <f>IF(OR(A275="",$F$5&lt;=0),"",REPT("█",ROUND(20*F275/$F$5,0)))</f>
        <v/>
      </c>
      <c r="H275" s="31">
        <f>AL275+MIN(R274+AB275-AL275,MAX(0,ROUND(Долги!$D$19-SUM($AL275:$AU275),2)))</f>
        <v>0.0</v>
      </c>
      <c r="I275" s="31">
        <f>AM275+MIN(S274+AC275-AM275,MAX(0,ROUND(ROUND(Долги!$D$19-SUM($AL275:$AU275),2)-(SUM($H275:H275)-SUM($AL275:AL275)),2)))</f>
        <v>0.0</v>
      </c>
      <c r="J275" s="31">
        <f>AN275+MIN(T274+AD275-AN275,MAX(0,ROUND(ROUND(Долги!$D$19-SUM($AL275:$AU275),2)-(SUM($H275:I275)-SUM($AL275:AM275)),2)))</f>
        <v>0.0</v>
      </c>
      <c r="K275" s="31">
        <f>AO275+MIN(U274+AE275-AO275,MAX(0,ROUND(ROUND(Долги!$D$19-SUM($AL275:$AU275),2)-(SUM($H275:J275)-SUM($AL275:AN275)),2)))</f>
        <v>0.0</v>
      </c>
      <c r="L275" s="31">
        <f>AP275+MIN(V274+AF275-AP275,MAX(0,ROUND(ROUND(Долги!$D$19-SUM($AL275:$AU275),2)-(SUM($H275:K275)-SUM($AL275:AO275)),2)))</f>
        <v>0.0</v>
      </c>
      <c r="M275" s="31">
        <f>AQ275+MIN(W274+AG275-AQ275,MAX(0,ROUND(ROUND(Долги!$D$19-SUM($AL275:$AU275),2)-(SUM($H275:L275)-SUM($AL275:AP275)),2)))</f>
        <v>0.0</v>
      </c>
      <c r="N275" s="31">
        <f>AR275+MIN(X274+AH275-AR275,MAX(0,ROUND(ROUND(Долги!$D$19-SUM($AL275:$AU275),2)-(SUM($H275:M275)-SUM($AL275:AQ275)),2)))</f>
        <v>0.0</v>
      </c>
      <c r="O275" s="31">
        <f>AS275+MIN(Y274+AI275-AS275,MAX(0,ROUND(ROUND(Долги!$D$19-SUM($AL275:$AU275),2)-(SUM($H275:N275)-SUM($AL275:AR275)),2)))</f>
        <v>0.0</v>
      </c>
      <c r="P275" s="31">
        <f>AT275+MIN(Z274+AJ275-AT275,MAX(0,ROUND(ROUND(Долги!$D$19-SUM($AL275:$AU275),2)-(SUM($H275:O275)-SUM($AL275:AS275)),2)))</f>
        <v>0.0</v>
      </c>
      <c r="Q275" s="31">
        <f>AU275+MIN(AA274+AK275-AU275,MAX(0,ROUND(ROUND(Долги!$D$19-SUM($AL275:$AU275),2)-(SUM($H275:P275)-SUM($AL275:AT275)),2)))</f>
        <v>0.0</v>
      </c>
      <c r="R275" s="31">
        <f>IF(R274+AB275-H275&lt;=0.01,0,ROUND(R274+AB275-H275,2))</f>
        <v>0.0</v>
      </c>
      <c r="S275" s="31">
        <f>IF(S274+AC275-I275&lt;=0.01,0,ROUND(S274+AC275-I275,2))</f>
        <v>0.0</v>
      </c>
      <c r="T275" s="31">
        <f>IF(T274+AD275-J275&lt;=0.01,0,ROUND(T274+AD275-J275,2))</f>
        <v>0.0</v>
      </c>
      <c r="U275" s="31">
        <f>IF(U274+AE275-K275&lt;=0.01,0,ROUND(U274+AE275-K275,2))</f>
        <v>0.0</v>
      </c>
      <c r="V275" s="31">
        <f>IF(V274+AF275-L275&lt;=0.01,0,ROUND(V274+AF275-L275,2))</f>
        <v>0.0</v>
      </c>
      <c r="W275" s="31">
        <f>IF(W274+AG275-M275&lt;=0.01,0,ROUND(W274+AG275-M275,2))</f>
        <v>0.0</v>
      </c>
      <c r="X275" s="31">
        <f>IF(X274+AH275-N275&lt;=0.01,0,ROUND(X274+AH275-N275,2))</f>
        <v>0.0</v>
      </c>
      <c r="Y275" s="31">
        <f>IF(Y274+AI275-O275&lt;=0.01,0,ROUND(Y274+AI275-O275,2))</f>
        <v>0.0</v>
      </c>
      <c r="Z275" s="31">
        <f>IF(Z274+AJ275-P275&lt;=0.01,0,ROUND(Z274+AJ275-P275,2))</f>
        <v>0.0</v>
      </c>
      <c r="AA275" s="31">
        <f>IF(AA274+AK275-Q275&lt;=0.01,0,ROUND(AA274+AK275-Q275,2))</f>
        <v>0.0</v>
      </c>
      <c r="AB275" s="31">
        <f>ROUND(R274*AB$5/1200,2)</f>
        <v>0.0</v>
      </c>
      <c r="AC275" s="31">
        <f>ROUND(S274*AC$5/1200,2)</f>
        <v>0.0</v>
      </c>
      <c r="AD275" s="31">
        <f>ROUND(T274*AD$5/1200,2)</f>
        <v>0.0</v>
      </c>
      <c r="AE275" s="31">
        <f>ROUND(U274*AE$5/1200,2)</f>
        <v>0.0</v>
      </c>
      <c r="AF275" s="31">
        <f>ROUND(V274*AF$5/1200,2)</f>
        <v>0.0</v>
      </c>
      <c r="AG275" s="31">
        <f>ROUND(W274*AG$5/1200,2)</f>
        <v>0.0</v>
      </c>
      <c r="AH275" s="31">
        <f>ROUND(X274*AH$5/1200,2)</f>
        <v>0.0</v>
      </c>
      <c r="AI275" s="31">
        <f>ROUND(Y274*AI$5/1200,2)</f>
        <v>0.0</v>
      </c>
      <c r="AJ275" s="31">
        <f>ROUND(Z274*AJ$5/1200,2)</f>
        <v>0.0</v>
      </c>
      <c r="AK275" s="31">
        <f>ROUND(AA274*AK$5/1200,2)</f>
        <v>0.0</v>
      </c>
      <c r="AL275" s="31">
        <f>MIN(AL$5,R274+AB275)</f>
        <v>0.0</v>
      </c>
      <c r="AM275" s="31">
        <f>MIN(AM$5,S274+AC275)</f>
        <v>0.0</v>
      </c>
      <c r="AN275" s="31">
        <f>MIN(AN$5,T274+AD275)</f>
        <v>0.0</v>
      </c>
      <c r="AO275" s="31">
        <f>MIN(AO$5,U274+AE275)</f>
        <v>0.0</v>
      </c>
      <c r="AP275" s="31">
        <f>MIN(AP$5,V274+AF275)</f>
        <v>0.0</v>
      </c>
      <c r="AQ275" s="31">
        <f>MIN(AQ$5,W274+AG275)</f>
        <v>0.0</v>
      </c>
      <c r="AR275" s="31">
        <f>MIN(AR$5,X274+AH275)</f>
        <v>0.0</v>
      </c>
      <c r="AS275" s="31">
        <f>MIN(AS$5,Y274+AI275)</f>
        <v>0.0</v>
      </c>
      <c r="AT275" s="31">
        <f>MIN(AT$5,Z274+AJ275)</f>
        <v>0.0</v>
      </c>
      <c r="AU275" s="31">
        <f>MIN(AU$5,AA274+AK275)</f>
        <v>0.0</v>
      </c>
    </row>
    <row r="276">
      <c r="A276" s="25" t="str">
        <f>IF(F275&gt;0.005,271,"")</f>
        <v/>
      </c>
      <c r="B276" s="33" t="str">
        <f>IF(A276="","",EDATE(Долги!$D$5,270))</f>
        <v/>
      </c>
      <c r="C276" s="31">
        <f>SUM(H276:Q276)</f>
        <v>0.0</v>
      </c>
      <c r="D276" s="31">
        <f>SUM(AB276:AK276)</f>
        <v>0.0</v>
      </c>
      <c r="E276" s="31">
        <f>C276-D276</f>
        <v>0.0</v>
      </c>
      <c r="F276" s="31">
        <f>SUM(R276:AA276)</f>
        <v>0.0</v>
      </c>
      <c r="G276" s="34" t="str">
        <f>IF(OR(A276="",$F$5&lt;=0),"",REPT("█",ROUND(20*F276/$F$5,0)))</f>
        <v/>
      </c>
      <c r="H276" s="31">
        <f>AL276+MIN(R275+AB276-AL276,MAX(0,ROUND(Долги!$D$19-SUM($AL276:$AU276),2)))</f>
        <v>0.0</v>
      </c>
      <c r="I276" s="31">
        <f>AM276+MIN(S275+AC276-AM276,MAX(0,ROUND(ROUND(Долги!$D$19-SUM($AL276:$AU276),2)-(SUM($H276:H276)-SUM($AL276:AL276)),2)))</f>
        <v>0.0</v>
      </c>
      <c r="J276" s="31">
        <f>AN276+MIN(T275+AD276-AN276,MAX(0,ROUND(ROUND(Долги!$D$19-SUM($AL276:$AU276),2)-(SUM($H276:I276)-SUM($AL276:AM276)),2)))</f>
        <v>0.0</v>
      </c>
      <c r="K276" s="31">
        <f>AO276+MIN(U275+AE276-AO276,MAX(0,ROUND(ROUND(Долги!$D$19-SUM($AL276:$AU276),2)-(SUM($H276:J276)-SUM($AL276:AN276)),2)))</f>
        <v>0.0</v>
      </c>
      <c r="L276" s="31">
        <f>AP276+MIN(V275+AF276-AP276,MAX(0,ROUND(ROUND(Долги!$D$19-SUM($AL276:$AU276),2)-(SUM($H276:K276)-SUM($AL276:AO276)),2)))</f>
        <v>0.0</v>
      </c>
      <c r="M276" s="31">
        <f>AQ276+MIN(W275+AG276-AQ276,MAX(0,ROUND(ROUND(Долги!$D$19-SUM($AL276:$AU276),2)-(SUM($H276:L276)-SUM($AL276:AP276)),2)))</f>
        <v>0.0</v>
      </c>
      <c r="N276" s="31">
        <f>AR276+MIN(X275+AH276-AR276,MAX(0,ROUND(ROUND(Долги!$D$19-SUM($AL276:$AU276),2)-(SUM($H276:M276)-SUM($AL276:AQ276)),2)))</f>
        <v>0.0</v>
      </c>
      <c r="O276" s="31">
        <f>AS276+MIN(Y275+AI276-AS276,MAX(0,ROUND(ROUND(Долги!$D$19-SUM($AL276:$AU276),2)-(SUM($H276:N276)-SUM($AL276:AR276)),2)))</f>
        <v>0.0</v>
      </c>
      <c r="P276" s="31">
        <f>AT276+MIN(Z275+AJ276-AT276,MAX(0,ROUND(ROUND(Долги!$D$19-SUM($AL276:$AU276),2)-(SUM($H276:O276)-SUM($AL276:AS276)),2)))</f>
        <v>0.0</v>
      </c>
      <c r="Q276" s="31">
        <f>AU276+MIN(AA275+AK276-AU276,MAX(0,ROUND(ROUND(Долги!$D$19-SUM($AL276:$AU276),2)-(SUM($H276:P276)-SUM($AL276:AT276)),2)))</f>
        <v>0.0</v>
      </c>
      <c r="R276" s="31">
        <f>IF(R275+AB276-H276&lt;=0.01,0,ROUND(R275+AB276-H276,2))</f>
        <v>0.0</v>
      </c>
      <c r="S276" s="31">
        <f>IF(S275+AC276-I276&lt;=0.01,0,ROUND(S275+AC276-I276,2))</f>
        <v>0.0</v>
      </c>
      <c r="T276" s="31">
        <f>IF(T275+AD276-J276&lt;=0.01,0,ROUND(T275+AD276-J276,2))</f>
        <v>0.0</v>
      </c>
      <c r="U276" s="31">
        <f>IF(U275+AE276-K276&lt;=0.01,0,ROUND(U275+AE276-K276,2))</f>
        <v>0.0</v>
      </c>
      <c r="V276" s="31">
        <f>IF(V275+AF276-L276&lt;=0.01,0,ROUND(V275+AF276-L276,2))</f>
        <v>0.0</v>
      </c>
      <c r="W276" s="31">
        <f>IF(W275+AG276-M276&lt;=0.01,0,ROUND(W275+AG276-M276,2))</f>
        <v>0.0</v>
      </c>
      <c r="X276" s="31">
        <f>IF(X275+AH276-N276&lt;=0.01,0,ROUND(X275+AH276-N276,2))</f>
        <v>0.0</v>
      </c>
      <c r="Y276" s="31">
        <f>IF(Y275+AI276-O276&lt;=0.01,0,ROUND(Y275+AI276-O276,2))</f>
        <v>0.0</v>
      </c>
      <c r="Z276" s="31">
        <f>IF(Z275+AJ276-P276&lt;=0.01,0,ROUND(Z275+AJ276-P276,2))</f>
        <v>0.0</v>
      </c>
      <c r="AA276" s="31">
        <f>IF(AA275+AK276-Q276&lt;=0.01,0,ROUND(AA275+AK276-Q276,2))</f>
        <v>0.0</v>
      </c>
      <c r="AB276" s="31">
        <f>ROUND(R275*AB$5/1200,2)</f>
        <v>0.0</v>
      </c>
      <c r="AC276" s="31">
        <f>ROUND(S275*AC$5/1200,2)</f>
        <v>0.0</v>
      </c>
      <c r="AD276" s="31">
        <f>ROUND(T275*AD$5/1200,2)</f>
        <v>0.0</v>
      </c>
      <c r="AE276" s="31">
        <f>ROUND(U275*AE$5/1200,2)</f>
        <v>0.0</v>
      </c>
      <c r="AF276" s="31">
        <f>ROUND(V275*AF$5/1200,2)</f>
        <v>0.0</v>
      </c>
      <c r="AG276" s="31">
        <f>ROUND(W275*AG$5/1200,2)</f>
        <v>0.0</v>
      </c>
      <c r="AH276" s="31">
        <f>ROUND(X275*AH$5/1200,2)</f>
        <v>0.0</v>
      </c>
      <c r="AI276" s="31">
        <f>ROUND(Y275*AI$5/1200,2)</f>
        <v>0.0</v>
      </c>
      <c r="AJ276" s="31">
        <f>ROUND(Z275*AJ$5/1200,2)</f>
        <v>0.0</v>
      </c>
      <c r="AK276" s="31">
        <f>ROUND(AA275*AK$5/1200,2)</f>
        <v>0.0</v>
      </c>
      <c r="AL276" s="31">
        <f>MIN(AL$5,R275+AB276)</f>
        <v>0.0</v>
      </c>
      <c r="AM276" s="31">
        <f>MIN(AM$5,S275+AC276)</f>
        <v>0.0</v>
      </c>
      <c r="AN276" s="31">
        <f>MIN(AN$5,T275+AD276)</f>
        <v>0.0</v>
      </c>
      <c r="AO276" s="31">
        <f>MIN(AO$5,U275+AE276)</f>
        <v>0.0</v>
      </c>
      <c r="AP276" s="31">
        <f>MIN(AP$5,V275+AF276)</f>
        <v>0.0</v>
      </c>
      <c r="AQ276" s="31">
        <f>MIN(AQ$5,W275+AG276)</f>
        <v>0.0</v>
      </c>
      <c r="AR276" s="31">
        <f>MIN(AR$5,X275+AH276)</f>
        <v>0.0</v>
      </c>
      <c r="AS276" s="31">
        <f>MIN(AS$5,Y275+AI276)</f>
        <v>0.0</v>
      </c>
      <c r="AT276" s="31">
        <f>MIN(AT$5,Z275+AJ276)</f>
        <v>0.0</v>
      </c>
      <c r="AU276" s="31">
        <f>MIN(AU$5,AA275+AK276)</f>
        <v>0.0</v>
      </c>
    </row>
    <row r="277">
      <c r="A277" s="25" t="str">
        <f>IF(F276&gt;0.005,272,"")</f>
        <v/>
      </c>
      <c r="B277" s="33" t="str">
        <f>IF(A277="","",EDATE(Долги!$D$5,271))</f>
        <v/>
      </c>
      <c r="C277" s="31">
        <f>SUM(H277:Q277)</f>
        <v>0.0</v>
      </c>
      <c r="D277" s="31">
        <f>SUM(AB277:AK277)</f>
        <v>0.0</v>
      </c>
      <c r="E277" s="31">
        <f>C277-D277</f>
        <v>0.0</v>
      </c>
      <c r="F277" s="31">
        <f>SUM(R277:AA277)</f>
        <v>0.0</v>
      </c>
      <c r="G277" s="34" t="str">
        <f>IF(OR(A277="",$F$5&lt;=0),"",REPT("█",ROUND(20*F277/$F$5,0)))</f>
        <v/>
      </c>
      <c r="H277" s="31">
        <f>AL277+MIN(R276+AB277-AL277,MAX(0,ROUND(Долги!$D$19-SUM($AL277:$AU277),2)))</f>
        <v>0.0</v>
      </c>
      <c r="I277" s="31">
        <f>AM277+MIN(S276+AC277-AM277,MAX(0,ROUND(ROUND(Долги!$D$19-SUM($AL277:$AU277),2)-(SUM($H277:H277)-SUM($AL277:AL277)),2)))</f>
        <v>0.0</v>
      </c>
      <c r="J277" s="31">
        <f>AN277+MIN(T276+AD277-AN277,MAX(0,ROUND(ROUND(Долги!$D$19-SUM($AL277:$AU277),2)-(SUM($H277:I277)-SUM($AL277:AM277)),2)))</f>
        <v>0.0</v>
      </c>
      <c r="K277" s="31">
        <f>AO277+MIN(U276+AE277-AO277,MAX(0,ROUND(ROUND(Долги!$D$19-SUM($AL277:$AU277),2)-(SUM($H277:J277)-SUM($AL277:AN277)),2)))</f>
        <v>0.0</v>
      </c>
      <c r="L277" s="31">
        <f>AP277+MIN(V276+AF277-AP277,MAX(0,ROUND(ROUND(Долги!$D$19-SUM($AL277:$AU277),2)-(SUM($H277:K277)-SUM($AL277:AO277)),2)))</f>
        <v>0.0</v>
      </c>
      <c r="M277" s="31">
        <f>AQ277+MIN(W276+AG277-AQ277,MAX(0,ROUND(ROUND(Долги!$D$19-SUM($AL277:$AU277),2)-(SUM($H277:L277)-SUM($AL277:AP277)),2)))</f>
        <v>0.0</v>
      </c>
      <c r="N277" s="31">
        <f>AR277+MIN(X276+AH277-AR277,MAX(0,ROUND(ROUND(Долги!$D$19-SUM($AL277:$AU277),2)-(SUM($H277:M277)-SUM($AL277:AQ277)),2)))</f>
        <v>0.0</v>
      </c>
      <c r="O277" s="31">
        <f>AS277+MIN(Y276+AI277-AS277,MAX(0,ROUND(ROUND(Долги!$D$19-SUM($AL277:$AU277),2)-(SUM($H277:N277)-SUM($AL277:AR277)),2)))</f>
        <v>0.0</v>
      </c>
      <c r="P277" s="31">
        <f>AT277+MIN(Z276+AJ277-AT277,MAX(0,ROUND(ROUND(Долги!$D$19-SUM($AL277:$AU277),2)-(SUM($H277:O277)-SUM($AL277:AS277)),2)))</f>
        <v>0.0</v>
      </c>
      <c r="Q277" s="31">
        <f>AU277+MIN(AA276+AK277-AU277,MAX(0,ROUND(ROUND(Долги!$D$19-SUM($AL277:$AU277),2)-(SUM($H277:P277)-SUM($AL277:AT277)),2)))</f>
        <v>0.0</v>
      </c>
      <c r="R277" s="31">
        <f>IF(R276+AB277-H277&lt;=0.01,0,ROUND(R276+AB277-H277,2))</f>
        <v>0.0</v>
      </c>
      <c r="S277" s="31">
        <f>IF(S276+AC277-I277&lt;=0.01,0,ROUND(S276+AC277-I277,2))</f>
        <v>0.0</v>
      </c>
      <c r="T277" s="31">
        <f>IF(T276+AD277-J277&lt;=0.01,0,ROUND(T276+AD277-J277,2))</f>
        <v>0.0</v>
      </c>
      <c r="U277" s="31">
        <f>IF(U276+AE277-K277&lt;=0.01,0,ROUND(U276+AE277-K277,2))</f>
        <v>0.0</v>
      </c>
      <c r="V277" s="31">
        <f>IF(V276+AF277-L277&lt;=0.01,0,ROUND(V276+AF277-L277,2))</f>
        <v>0.0</v>
      </c>
      <c r="W277" s="31">
        <f>IF(W276+AG277-M277&lt;=0.01,0,ROUND(W276+AG277-M277,2))</f>
        <v>0.0</v>
      </c>
      <c r="X277" s="31">
        <f>IF(X276+AH277-N277&lt;=0.01,0,ROUND(X276+AH277-N277,2))</f>
        <v>0.0</v>
      </c>
      <c r="Y277" s="31">
        <f>IF(Y276+AI277-O277&lt;=0.01,0,ROUND(Y276+AI277-O277,2))</f>
        <v>0.0</v>
      </c>
      <c r="Z277" s="31">
        <f>IF(Z276+AJ277-P277&lt;=0.01,0,ROUND(Z276+AJ277-P277,2))</f>
        <v>0.0</v>
      </c>
      <c r="AA277" s="31">
        <f>IF(AA276+AK277-Q277&lt;=0.01,0,ROUND(AA276+AK277-Q277,2))</f>
        <v>0.0</v>
      </c>
      <c r="AB277" s="31">
        <f>ROUND(R276*AB$5/1200,2)</f>
        <v>0.0</v>
      </c>
      <c r="AC277" s="31">
        <f>ROUND(S276*AC$5/1200,2)</f>
        <v>0.0</v>
      </c>
      <c r="AD277" s="31">
        <f>ROUND(T276*AD$5/1200,2)</f>
        <v>0.0</v>
      </c>
      <c r="AE277" s="31">
        <f>ROUND(U276*AE$5/1200,2)</f>
        <v>0.0</v>
      </c>
      <c r="AF277" s="31">
        <f>ROUND(V276*AF$5/1200,2)</f>
        <v>0.0</v>
      </c>
      <c r="AG277" s="31">
        <f>ROUND(W276*AG$5/1200,2)</f>
        <v>0.0</v>
      </c>
      <c r="AH277" s="31">
        <f>ROUND(X276*AH$5/1200,2)</f>
        <v>0.0</v>
      </c>
      <c r="AI277" s="31">
        <f>ROUND(Y276*AI$5/1200,2)</f>
        <v>0.0</v>
      </c>
      <c r="AJ277" s="31">
        <f>ROUND(Z276*AJ$5/1200,2)</f>
        <v>0.0</v>
      </c>
      <c r="AK277" s="31">
        <f>ROUND(AA276*AK$5/1200,2)</f>
        <v>0.0</v>
      </c>
      <c r="AL277" s="31">
        <f>MIN(AL$5,R276+AB277)</f>
        <v>0.0</v>
      </c>
      <c r="AM277" s="31">
        <f>MIN(AM$5,S276+AC277)</f>
        <v>0.0</v>
      </c>
      <c r="AN277" s="31">
        <f>MIN(AN$5,T276+AD277)</f>
        <v>0.0</v>
      </c>
      <c r="AO277" s="31">
        <f>MIN(AO$5,U276+AE277)</f>
        <v>0.0</v>
      </c>
      <c r="AP277" s="31">
        <f>MIN(AP$5,V276+AF277)</f>
        <v>0.0</v>
      </c>
      <c r="AQ277" s="31">
        <f>MIN(AQ$5,W276+AG277)</f>
        <v>0.0</v>
      </c>
      <c r="AR277" s="31">
        <f>MIN(AR$5,X276+AH277)</f>
        <v>0.0</v>
      </c>
      <c r="AS277" s="31">
        <f>MIN(AS$5,Y276+AI277)</f>
        <v>0.0</v>
      </c>
      <c r="AT277" s="31">
        <f>MIN(AT$5,Z276+AJ277)</f>
        <v>0.0</v>
      </c>
      <c r="AU277" s="31">
        <f>MIN(AU$5,AA276+AK277)</f>
        <v>0.0</v>
      </c>
    </row>
    <row r="278">
      <c r="A278" s="25" t="str">
        <f>IF(F277&gt;0.005,273,"")</f>
        <v/>
      </c>
      <c r="B278" s="33" t="str">
        <f>IF(A278="","",EDATE(Долги!$D$5,272))</f>
        <v/>
      </c>
      <c r="C278" s="31">
        <f>SUM(H278:Q278)</f>
        <v>0.0</v>
      </c>
      <c r="D278" s="31">
        <f>SUM(AB278:AK278)</f>
        <v>0.0</v>
      </c>
      <c r="E278" s="31">
        <f>C278-D278</f>
        <v>0.0</v>
      </c>
      <c r="F278" s="31">
        <f>SUM(R278:AA278)</f>
        <v>0.0</v>
      </c>
      <c r="G278" s="34" t="str">
        <f>IF(OR(A278="",$F$5&lt;=0),"",REPT("█",ROUND(20*F278/$F$5,0)))</f>
        <v/>
      </c>
      <c r="H278" s="31">
        <f>AL278+MIN(R277+AB278-AL278,MAX(0,ROUND(Долги!$D$19-SUM($AL278:$AU278),2)))</f>
        <v>0.0</v>
      </c>
      <c r="I278" s="31">
        <f>AM278+MIN(S277+AC278-AM278,MAX(0,ROUND(ROUND(Долги!$D$19-SUM($AL278:$AU278),2)-(SUM($H278:H278)-SUM($AL278:AL278)),2)))</f>
        <v>0.0</v>
      </c>
      <c r="J278" s="31">
        <f>AN278+MIN(T277+AD278-AN278,MAX(0,ROUND(ROUND(Долги!$D$19-SUM($AL278:$AU278),2)-(SUM($H278:I278)-SUM($AL278:AM278)),2)))</f>
        <v>0.0</v>
      </c>
      <c r="K278" s="31">
        <f>AO278+MIN(U277+AE278-AO278,MAX(0,ROUND(ROUND(Долги!$D$19-SUM($AL278:$AU278),2)-(SUM($H278:J278)-SUM($AL278:AN278)),2)))</f>
        <v>0.0</v>
      </c>
      <c r="L278" s="31">
        <f>AP278+MIN(V277+AF278-AP278,MAX(0,ROUND(ROUND(Долги!$D$19-SUM($AL278:$AU278),2)-(SUM($H278:K278)-SUM($AL278:AO278)),2)))</f>
        <v>0.0</v>
      </c>
      <c r="M278" s="31">
        <f>AQ278+MIN(W277+AG278-AQ278,MAX(0,ROUND(ROUND(Долги!$D$19-SUM($AL278:$AU278),2)-(SUM($H278:L278)-SUM($AL278:AP278)),2)))</f>
        <v>0.0</v>
      </c>
      <c r="N278" s="31">
        <f>AR278+MIN(X277+AH278-AR278,MAX(0,ROUND(ROUND(Долги!$D$19-SUM($AL278:$AU278),2)-(SUM($H278:M278)-SUM($AL278:AQ278)),2)))</f>
        <v>0.0</v>
      </c>
      <c r="O278" s="31">
        <f>AS278+MIN(Y277+AI278-AS278,MAX(0,ROUND(ROUND(Долги!$D$19-SUM($AL278:$AU278),2)-(SUM($H278:N278)-SUM($AL278:AR278)),2)))</f>
        <v>0.0</v>
      </c>
      <c r="P278" s="31">
        <f>AT278+MIN(Z277+AJ278-AT278,MAX(0,ROUND(ROUND(Долги!$D$19-SUM($AL278:$AU278),2)-(SUM($H278:O278)-SUM($AL278:AS278)),2)))</f>
        <v>0.0</v>
      </c>
      <c r="Q278" s="31">
        <f>AU278+MIN(AA277+AK278-AU278,MAX(0,ROUND(ROUND(Долги!$D$19-SUM($AL278:$AU278),2)-(SUM($H278:P278)-SUM($AL278:AT278)),2)))</f>
        <v>0.0</v>
      </c>
      <c r="R278" s="31">
        <f>IF(R277+AB278-H278&lt;=0.01,0,ROUND(R277+AB278-H278,2))</f>
        <v>0.0</v>
      </c>
      <c r="S278" s="31">
        <f>IF(S277+AC278-I278&lt;=0.01,0,ROUND(S277+AC278-I278,2))</f>
        <v>0.0</v>
      </c>
      <c r="T278" s="31">
        <f>IF(T277+AD278-J278&lt;=0.01,0,ROUND(T277+AD278-J278,2))</f>
        <v>0.0</v>
      </c>
      <c r="U278" s="31">
        <f>IF(U277+AE278-K278&lt;=0.01,0,ROUND(U277+AE278-K278,2))</f>
        <v>0.0</v>
      </c>
      <c r="V278" s="31">
        <f>IF(V277+AF278-L278&lt;=0.01,0,ROUND(V277+AF278-L278,2))</f>
        <v>0.0</v>
      </c>
      <c r="W278" s="31">
        <f>IF(W277+AG278-M278&lt;=0.01,0,ROUND(W277+AG278-M278,2))</f>
        <v>0.0</v>
      </c>
      <c r="X278" s="31">
        <f>IF(X277+AH278-N278&lt;=0.01,0,ROUND(X277+AH278-N278,2))</f>
        <v>0.0</v>
      </c>
      <c r="Y278" s="31">
        <f>IF(Y277+AI278-O278&lt;=0.01,0,ROUND(Y277+AI278-O278,2))</f>
        <v>0.0</v>
      </c>
      <c r="Z278" s="31">
        <f>IF(Z277+AJ278-P278&lt;=0.01,0,ROUND(Z277+AJ278-P278,2))</f>
        <v>0.0</v>
      </c>
      <c r="AA278" s="31">
        <f>IF(AA277+AK278-Q278&lt;=0.01,0,ROUND(AA277+AK278-Q278,2))</f>
        <v>0.0</v>
      </c>
      <c r="AB278" s="31">
        <f>ROUND(R277*AB$5/1200,2)</f>
        <v>0.0</v>
      </c>
      <c r="AC278" s="31">
        <f>ROUND(S277*AC$5/1200,2)</f>
        <v>0.0</v>
      </c>
      <c r="AD278" s="31">
        <f>ROUND(T277*AD$5/1200,2)</f>
        <v>0.0</v>
      </c>
      <c r="AE278" s="31">
        <f>ROUND(U277*AE$5/1200,2)</f>
        <v>0.0</v>
      </c>
      <c r="AF278" s="31">
        <f>ROUND(V277*AF$5/1200,2)</f>
        <v>0.0</v>
      </c>
      <c r="AG278" s="31">
        <f>ROUND(W277*AG$5/1200,2)</f>
        <v>0.0</v>
      </c>
      <c r="AH278" s="31">
        <f>ROUND(X277*AH$5/1200,2)</f>
        <v>0.0</v>
      </c>
      <c r="AI278" s="31">
        <f>ROUND(Y277*AI$5/1200,2)</f>
        <v>0.0</v>
      </c>
      <c r="AJ278" s="31">
        <f>ROUND(Z277*AJ$5/1200,2)</f>
        <v>0.0</v>
      </c>
      <c r="AK278" s="31">
        <f>ROUND(AA277*AK$5/1200,2)</f>
        <v>0.0</v>
      </c>
      <c r="AL278" s="31">
        <f>MIN(AL$5,R277+AB278)</f>
        <v>0.0</v>
      </c>
      <c r="AM278" s="31">
        <f>MIN(AM$5,S277+AC278)</f>
        <v>0.0</v>
      </c>
      <c r="AN278" s="31">
        <f>MIN(AN$5,T277+AD278)</f>
        <v>0.0</v>
      </c>
      <c r="AO278" s="31">
        <f>MIN(AO$5,U277+AE278)</f>
        <v>0.0</v>
      </c>
      <c r="AP278" s="31">
        <f>MIN(AP$5,V277+AF278)</f>
        <v>0.0</v>
      </c>
      <c r="AQ278" s="31">
        <f>MIN(AQ$5,W277+AG278)</f>
        <v>0.0</v>
      </c>
      <c r="AR278" s="31">
        <f>MIN(AR$5,X277+AH278)</f>
        <v>0.0</v>
      </c>
      <c r="AS278" s="31">
        <f>MIN(AS$5,Y277+AI278)</f>
        <v>0.0</v>
      </c>
      <c r="AT278" s="31">
        <f>MIN(AT$5,Z277+AJ278)</f>
        <v>0.0</v>
      </c>
      <c r="AU278" s="31">
        <f>MIN(AU$5,AA277+AK278)</f>
        <v>0.0</v>
      </c>
    </row>
    <row r="279">
      <c r="A279" s="25" t="str">
        <f>IF(F278&gt;0.005,274,"")</f>
        <v/>
      </c>
      <c r="B279" s="33" t="str">
        <f>IF(A279="","",EDATE(Долги!$D$5,273))</f>
        <v/>
      </c>
      <c r="C279" s="31">
        <f>SUM(H279:Q279)</f>
        <v>0.0</v>
      </c>
      <c r="D279" s="31">
        <f>SUM(AB279:AK279)</f>
        <v>0.0</v>
      </c>
      <c r="E279" s="31">
        <f>C279-D279</f>
        <v>0.0</v>
      </c>
      <c r="F279" s="31">
        <f>SUM(R279:AA279)</f>
        <v>0.0</v>
      </c>
      <c r="G279" s="34" t="str">
        <f>IF(OR(A279="",$F$5&lt;=0),"",REPT("█",ROUND(20*F279/$F$5,0)))</f>
        <v/>
      </c>
      <c r="H279" s="31">
        <f>AL279+MIN(R278+AB279-AL279,MAX(0,ROUND(Долги!$D$19-SUM($AL279:$AU279),2)))</f>
        <v>0.0</v>
      </c>
      <c r="I279" s="31">
        <f>AM279+MIN(S278+AC279-AM279,MAX(0,ROUND(ROUND(Долги!$D$19-SUM($AL279:$AU279),2)-(SUM($H279:H279)-SUM($AL279:AL279)),2)))</f>
        <v>0.0</v>
      </c>
      <c r="J279" s="31">
        <f>AN279+MIN(T278+AD279-AN279,MAX(0,ROUND(ROUND(Долги!$D$19-SUM($AL279:$AU279),2)-(SUM($H279:I279)-SUM($AL279:AM279)),2)))</f>
        <v>0.0</v>
      </c>
      <c r="K279" s="31">
        <f>AO279+MIN(U278+AE279-AO279,MAX(0,ROUND(ROUND(Долги!$D$19-SUM($AL279:$AU279),2)-(SUM($H279:J279)-SUM($AL279:AN279)),2)))</f>
        <v>0.0</v>
      </c>
      <c r="L279" s="31">
        <f>AP279+MIN(V278+AF279-AP279,MAX(0,ROUND(ROUND(Долги!$D$19-SUM($AL279:$AU279),2)-(SUM($H279:K279)-SUM($AL279:AO279)),2)))</f>
        <v>0.0</v>
      </c>
      <c r="M279" s="31">
        <f>AQ279+MIN(W278+AG279-AQ279,MAX(0,ROUND(ROUND(Долги!$D$19-SUM($AL279:$AU279),2)-(SUM($H279:L279)-SUM($AL279:AP279)),2)))</f>
        <v>0.0</v>
      </c>
      <c r="N279" s="31">
        <f>AR279+MIN(X278+AH279-AR279,MAX(0,ROUND(ROUND(Долги!$D$19-SUM($AL279:$AU279),2)-(SUM($H279:M279)-SUM($AL279:AQ279)),2)))</f>
        <v>0.0</v>
      </c>
      <c r="O279" s="31">
        <f>AS279+MIN(Y278+AI279-AS279,MAX(0,ROUND(ROUND(Долги!$D$19-SUM($AL279:$AU279),2)-(SUM($H279:N279)-SUM($AL279:AR279)),2)))</f>
        <v>0.0</v>
      </c>
      <c r="P279" s="31">
        <f>AT279+MIN(Z278+AJ279-AT279,MAX(0,ROUND(ROUND(Долги!$D$19-SUM($AL279:$AU279),2)-(SUM($H279:O279)-SUM($AL279:AS279)),2)))</f>
        <v>0.0</v>
      </c>
      <c r="Q279" s="31">
        <f>AU279+MIN(AA278+AK279-AU279,MAX(0,ROUND(ROUND(Долги!$D$19-SUM($AL279:$AU279),2)-(SUM($H279:P279)-SUM($AL279:AT279)),2)))</f>
        <v>0.0</v>
      </c>
      <c r="R279" s="31">
        <f>IF(R278+AB279-H279&lt;=0.01,0,ROUND(R278+AB279-H279,2))</f>
        <v>0.0</v>
      </c>
      <c r="S279" s="31">
        <f>IF(S278+AC279-I279&lt;=0.01,0,ROUND(S278+AC279-I279,2))</f>
        <v>0.0</v>
      </c>
      <c r="T279" s="31">
        <f>IF(T278+AD279-J279&lt;=0.01,0,ROUND(T278+AD279-J279,2))</f>
        <v>0.0</v>
      </c>
      <c r="U279" s="31">
        <f>IF(U278+AE279-K279&lt;=0.01,0,ROUND(U278+AE279-K279,2))</f>
        <v>0.0</v>
      </c>
      <c r="V279" s="31">
        <f>IF(V278+AF279-L279&lt;=0.01,0,ROUND(V278+AF279-L279,2))</f>
        <v>0.0</v>
      </c>
      <c r="W279" s="31">
        <f>IF(W278+AG279-M279&lt;=0.01,0,ROUND(W278+AG279-M279,2))</f>
        <v>0.0</v>
      </c>
      <c r="X279" s="31">
        <f>IF(X278+AH279-N279&lt;=0.01,0,ROUND(X278+AH279-N279,2))</f>
        <v>0.0</v>
      </c>
      <c r="Y279" s="31">
        <f>IF(Y278+AI279-O279&lt;=0.01,0,ROUND(Y278+AI279-O279,2))</f>
        <v>0.0</v>
      </c>
      <c r="Z279" s="31">
        <f>IF(Z278+AJ279-P279&lt;=0.01,0,ROUND(Z278+AJ279-P279,2))</f>
        <v>0.0</v>
      </c>
      <c r="AA279" s="31">
        <f>IF(AA278+AK279-Q279&lt;=0.01,0,ROUND(AA278+AK279-Q279,2))</f>
        <v>0.0</v>
      </c>
      <c r="AB279" s="31">
        <f>ROUND(R278*AB$5/1200,2)</f>
        <v>0.0</v>
      </c>
      <c r="AC279" s="31">
        <f>ROUND(S278*AC$5/1200,2)</f>
        <v>0.0</v>
      </c>
      <c r="AD279" s="31">
        <f>ROUND(T278*AD$5/1200,2)</f>
        <v>0.0</v>
      </c>
      <c r="AE279" s="31">
        <f>ROUND(U278*AE$5/1200,2)</f>
        <v>0.0</v>
      </c>
      <c r="AF279" s="31">
        <f>ROUND(V278*AF$5/1200,2)</f>
        <v>0.0</v>
      </c>
      <c r="AG279" s="31">
        <f>ROUND(W278*AG$5/1200,2)</f>
        <v>0.0</v>
      </c>
      <c r="AH279" s="31">
        <f>ROUND(X278*AH$5/1200,2)</f>
        <v>0.0</v>
      </c>
      <c r="AI279" s="31">
        <f>ROUND(Y278*AI$5/1200,2)</f>
        <v>0.0</v>
      </c>
      <c r="AJ279" s="31">
        <f>ROUND(Z278*AJ$5/1200,2)</f>
        <v>0.0</v>
      </c>
      <c r="AK279" s="31">
        <f>ROUND(AA278*AK$5/1200,2)</f>
        <v>0.0</v>
      </c>
      <c r="AL279" s="31">
        <f>MIN(AL$5,R278+AB279)</f>
        <v>0.0</v>
      </c>
      <c r="AM279" s="31">
        <f>MIN(AM$5,S278+AC279)</f>
        <v>0.0</v>
      </c>
      <c r="AN279" s="31">
        <f>MIN(AN$5,T278+AD279)</f>
        <v>0.0</v>
      </c>
      <c r="AO279" s="31">
        <f>MIN(AO$5,U278+AE279)</f>
        <v>0.0</v>
      </c>
      <c r="AP279" s="31">
        <f>MIN(AP$5,V278+AF279)</f>
        <v>0.0</v>
      </c>
      <c r="AQ279" s="31">
        <f>MIN(AQ$5,W278+AG279)</f>
        <v>0.0</v>
      </c>
      <c r="AR279" s="31">
        <f>MIN(AR$5,X278+AH279)</f>
        <v>0.0</v>
      </c>
      <c r="AS279" s="31">
        <f>MIN(AS$5,Y278+AI279)</f>
        <v>0.0</v>
      </c>
      <c r="AT279" s="31">
        <f>MIN(AT$5,Z278+AJ279)</f>
        <v>0.0</v>
      </c>
      <c r="AU279" s="31">
        <f>MIN(AU$5,AA278+AK279)</f>
        <v>0.0</v>
      </c>
    </row>
    <row r="280">
      <c r="A280" s="25" t="str">
        <f>IF(F279&gt;0.005,275,"")</f>
        <v/>
      </c>
      <c r="B280" s="33" t="str">
        <f>IF(A280="","",EDATE(Долги!$D$5,274))</f>
        <v/>
      </c>
      <c r="C280" s="31">
        <f>SUM(H280:Q280)</f>
        <v>0.0</v>
      </c>
      <c r="D280" s="31">
        <f>SUM(AB280:AK280)</f>
        <v>0.0</v>
      </c>
      <c r="E280" s="31">
        <f>C280-D280</f>
        <v>0.0</v>
      </c>
      <c r="F280" s="31">
        <f>SUM(R280:AA280)</f>
        <v>0.0</v>
      </c>
      <c r="G280" s="34" t="str">
        <f>IF(OR(A280="",$F$5&lt;=0),"",REPT("█",ROUND(20*F280/$F$5,0)))</f>
        <v/>
      </c>
      <c r="H280" s="31">
        <f>AL280+MIN(R279+AB280-AL280,MAX(0,ROUND(Долги!$D$19-SUM($AL280:$AU280),2)))</f>
        <v>0.0</v>
      </c>
      <c r="I280" s="31">
        <f>AM280+MIN(S279+AC280-AM280,MAX(0,ROUND(ROUND(Долги!$D$19-SUM($AL280:$AU280),2)-(SUM($H280:H280)-SUM($AL280:AL280)),2)))</f>
        <v>0.0</v>
      </c>
      <c r="J280" s="31">
        <f>AN280+MIN(T279+AD280-AN280,MAX(0,ROUND(ROUND(Долги!$D$19-SUM($AL280:$AU280),2)-(SUM($H280:I280)-SUM($AL280:AM280)),2)))</f>
        <v>0.0</v>
      </c>
      <c r="K280" s="31">
        <f>AO280+MIN(U279+AE280-AO280,MAX(0,ROUND(ROUND(Долги!$D$19-SUM($AL280:$AU280),2)-(SUM($H280:J280)-SUM($AL280:AN280)),2)))</f>
        <v>0.0</v>
      </c>
      <c r="L280" s="31">
        <f>AP280+MIN(V279+AF280-AP280,MAX(0,ROUND(ROUND(Долги!$D$19-SUM($AL280:$AU280),2)-(SUM($H280:K280)-SUM($AL280:AO280)),2)))</f>
        <v>0.0</v>
      </c>
      <c r="M280" s="31">
        <f>AQ280+MIN(W279+AG280-AQ280,MAX(0,ROUND(ROUND(Долги!$D$19-SUM($AL280:$AU280),2)-(SUM($H280:L280)-SUM($AL280:AP280)),2)))</f>
        <v>0.0</v>
      </c>
      <c r="N280" s="31">
        <f>AR280+MIN(X279+AH280-AR280,MAX(0,ROUND(ROUND(Долги!$D$19-SUM($AL280:$AU280),2)-(SUM($H280:M280)-SUM($AL280:AQ280)),2)))</f>
        <v>0.0</v>
      </c>
      <c r="O280" s="31">
        <f>AS280+MIN(Y279+AI280-AS280,MAX(0,ROUND(ROUND(Долги!$D$19-SUM($AL280:$AU280),2)-(SUM($H280:N280)-SUM($AL280:AR280)),2)))</f>
        <v>0.0</v>
      </c>
      <c r="P280" s="31">
        <f>AT280+MIN(Z279+AJ280-AT280,MAX(0,ROUND(ROUND(Долги!$D$19-SUM($AL280:$AU280),2)-(SUM($H280:O280)-SUM($AL280:AS280)),2)))</f>
        <v>0.0</v>
      </c>
      <c r="Q280" s="31">
        <f>AU280+MIN(AA279+AK280-AU280,MAX(0,ROUND(ROUND(Долги!$D$19-SUM($AL280:$AU280),2)-(SUM($H280:P280)-SUM($AL280:AT280)),2)))</f>
        <v>0.0</v>
      </c>
      <c r="R280" s="31">
        <f>IF(R279+AB280-H280&lt;=0.01,0,ROUND(R279+AB280-H280,2))</f>
        <v>0.0</v>
      </c>
      <c r="S280" s="31">
        <f>IF(S279+AC280-I280&lt;=0.01,0,ROUND(S279+AC280-I280,2))</f>
        <v>0.0</v>
      </c>
      <c r="T280" s="31">
        <f>IF(T279+AD280-J280&lt;=0.01,0,ROUND(T279+AD280-J280,2))</f>
        <v>0.0</v>
      </c>
      <c r="U280" s="31">
        <f>IF(U279+AE280-K280&lt;=0.01,0,ROUND(U279+AE280-K280,2))</f>
        <v>0.0</v>
      </c>
      <c r="V280" s="31">
        <f>IF(V279+AF280-L280&lt;=0.01,0,ROUND(V279+AF280-L280,2))</f>
        <v>0.0</v>
      </c>
      <c r="W280" s="31">
        <f>IF(W279+AG280-M280&lt;=0.01,0,ROUND(W279+AG280-M280,2))</f>
        <v>0.0</v>
      </c>
      <c r="X280" s="31">
        <f>IF(X279+AH280-N280&lt;=0.01,0,ROUND(X279+AH280-N280,2))</f>
        <v>0.0</v>
      </c>
      <c r="Y280" s="31">
        <f>IF(Y279+AI280-O280&lt;=0.01,0,ROUND(Y279+AI280-O280,2))</f>
        <v>0.0</v>
      </c>
      <c r="Z280" s="31">
        <f>IF(Z279+AJ280-P280&lt;=0.01,0,ROUND(Z279+AJ280-P280,2))</f>
        <v>0.0</v>
      </c>
      <c r="AA280" s="31">
        <f>IF(AA279+AK280-Q280&lt;=0.01,0,ROUND(AA279+AK280-Q280,2))</f>
        <v>0.0</v>
      </c>
      <c r="AB280" s="31">
        <f>ROUND(R279*AB$5/1200,2)</f>
        <v>0.0</v>
      </c>
      <c r="AC280" s="31">
        <f>ROUND(S279*AC$5/1200,2)</f>
        <v>0.0</v>
      </c>
      <c r="AD280" s="31">
        <f>ROUND(T279*AD$5/1200,2)</f>
        <v>0.0</v>
      </c>
      <c r="AE280" s="31">
        <f>ROUND(U279*AE$5/1200,2)</f>
        <v>0.0</v>
      </c>
      <c r="AF280" s="31">
        <f>ROUND(V279*AF$5/1200,2)</f>
        <v>0.0</v>
      </c>
      <c r="AG280" s="31">
        <f>ROUND(W279*AG$5/1200,2)</f>
        <v>0.0</v>
      </c>
      <c r="AH280" s="31">
        <f>ROUND(X279*AH$5/1200,2)</f>
        <v>0.0</v>
      </c>
      <c r="AI280" s="31">
        <f>ROUND(Y279*AI$5/1200,2)</f>
        <v>0.0</v>
      </c>
      <c r="AJ280" s="31">
        <f>ROUND(Z279*AJ$5/1200,2)</f>
        <v>0.0</v>
      </c>
      <c r="AK280" s="31">
        <f>ROUND(AA279*AK$5/1200,2)</f>
        <v>0.0</v>
      </c>
      <c r="AL280" s="31">
        <f>MIN(AL$5,R279+AB280)</f>
        <v>0.0</v>
      </c>
      <c r="AM280" s="31">
        <f>MIN(AM$5,S279+AC280)</f>
        <v>0.0</v>
      </c>
      <c r="AN280" s="31">
        <f>MIN(AN$5,T279+AD280)</f>
        <v>0.0</v>
      </c>
      <c r="AO280" s="31">
        <f>MIN(AO$5,U279+AE280)</f>
        <v>0.0</v>
      </c>
      <c r="AP280" s="31">
        <f>MIN(AP$5,V279+AF280)</f>
        <v>0.0</v>
      </c>
      <c r="AQ280" s="31">
        <f>MIN(AQ$5,W279+AG280)</f>
        <v>0.0</v>
      </c>
      <c r="AR280" s="31">
        <f>MIN(AR$5,X279+AH280)</f>
        <v>0.0</v>
      </c>
      <c r="AS280" s="31">
        <f>MIN(AS$5,Y279+AI280)</f>
        <v>0.0</v>
      </c>
      <c r="AT280" s="31">
        <f>MIN(AT$5,Z279+AJ280)</f>
        <v>0.0</v>
      </c>
      <c r="AU280" s="31">
        <f>MIN(AU$5,AA279+AK280)</f>
        <v>0.0</v>
      </c>
    </row>
    <row r="281">
      <c r="A281" s="25" t="str">
        <f>IF(F280&gt;0.005,276,"")</f>
        <v/>
      </c>
      <c r="B281" s="33" t="str">
        <f>IF(A281="","",EDATE(Долги!$D$5,275))</f>
        <v/>
      </c>
      <c r="C281" s="31">
        <f>SUM(H281:Q281)</f>
        <v>0.0</v>
      </c>
      <c r="D281" s="31">
        <f>SUM(AB281:AK281)</f>
        <v>0.0</v>
      </c>
      <c r="E281" s="31">
        <f>C281-D281</f>
        <v>0.0</v>
      </c>
      <c r="F281" s="31">
        <f>SUM(R281:AA281)</f>
        <v>0.0</v>
      </c>
      <c r="G281" s="34" t="str">
        <f>IF(OR(A281="",$F$5&lt;=0),"",REPT("█",ROUND(20*F281/$F$5,0)))</f>
        <v/>
      </c>
      <c r="H281" s="31">
        <f>AL281+MIN(R280+AB281-AL281,MAX(0,ROUND(Долги!$D$19-SUM($AL281:$AU281),2)))</f>
        <v>0.0</v>
      </c>
      <c r="I281" s="31">
        <f>AM281+MIN(S280+AC281-AM281,MAX(0,ROUND(ROUND(Долги!$D$19-SUM($AL281:$AU281),2)-(SUM($H281:H281)-SUM($AL281:AL281)),2)))</f>
        <v>0.0</v>
      </c>
      <c r="J281" s="31">
        <f>AN281+MIN(T280+AD281-AN281,MAX(0,ROUND(ROUND(Долги!$D$19-SUM($AL281:$AU281),2)-(SUM($H281:I281)-SUM($AL281:AM281)),2)))</f>
        <v>0.0</v>
      </c>
      <c r="K281" s="31">
        <f>AO281+MIN(U280+AE281-AO281,MAX(0,ROUND(ROUND(Долги!$D$19-SUM($AL281:$AU281),2)-(SUM($H281:J281)-SUM($AL281:AN281)),2)))</f>
        <v>0.0</v>
      </c>
      <c r="L281" s="31">
        <f>AP281+MIN(V280+AF281-AP281,MAX(0,ROUND(ROUND(Долги!$D$19-SUM($AL281:$AU281),2)-(SUM($H281:K281)-SUM($AL281:AO281)),2)))</f>
        <v>0.0</v>
      </c>
      <c r="M281" s="31">
        <f>AQ281+MIN(W280+AG281-AQ281,MAX(0,ROUND(ROUND(Долги!$D$19-SUM($AL281:$AU281),2)-(SUM($H281:L281)-SUM($AL281:AP281)),2)))</f>
        <v>0.0</v>
      </c>
      <c r="N281" s="31">
        <f>AR281+MIN(X280+AH281-AR281,MAX(0,ROUND(ROUND(Долги!$D$19-SUM($AL281:$AU281),2)-(SUM($H281:M281)-SUM($AL281:AQ281)),2)))</f>
        <v>0.0</v>
      </c>
      <c r="O281" s="31">
        <f>AS281+MIN(Y280+AI281-AS281,MAX(0,ROUND(ROUND(Долги!$D$19-SUM($AL281:$AU281),2)-(SUM($H281:N281)-SUM($AL281:AR281)),2)))</f>
        <v>0.0</v>
      </c>
      <c r="P281" s="31">
        <f>AT281+MIN(Z280+AJ281-AT281,MAX(0,ROUND(ROUND(Долги!$D$19-SUM($AL281:$AU281),2)-(SUM($H281:O281)-SUM($AL281:AS281)),2)))</f>
        <v>0.0</v>
      </c>
      <c r="Q281" s="31">
        <f>AU281+MIN(AA280+AK281-AU281,MAX(0,ROUND(ROUND(Долги!$D$19-SUM($AL281:$AU281),2)-(SUM($H281:P281)-SUM($AL281:AT281)),2)))</f>
        <v>0.0</v>
      </c>
      <c r="R281" s="31">
        <f>IF(R280+AB281-H281&lt;=0.01,0,ROUND(R280+AB281-H281,2))</f>
        <v>0.0</v>
      </c>
      <c r="S281" s="31">
        <f>IF(S280+AC281-I281&lt;=0.01,0,ROUND(S280+AC281-I281,2))</f>
        <v>0.0</v>
      </c>
      <c r="T281" s="31">
        <f>IF(T280+AD281-J281&lt;=0.01,0,ROUND(T280+AD281-J281,2))</f>
        <v>0.0</v>
      </c>
      <c r="U281" s="31">
        <f>IF(U280+AE281-K281&lt;=0.01,0,ROUND(U280+AE281-K281,2))</f>
        <v>0.0</v>
      </c>
      <c r="V281" s="31">
        <f>IF(V280+AF281-L281&lt;=0.01,0,ROUND(V280+AF281-L281,2))</f>
        <v>0.0</v>
      </c>
      <c r="W281" s="31">
        <f>IF(W280+AG281-M281&lt;=0.01,0,ROUND(W280+AG281-M281,2))</f>
        <v>0.0</v>
      </c>
      <c r="X281" s="31">
        <f>IF(X280+AH281-N281&lt;=0.01,0,ROUND(X280+AH281-N281,2))</f>
        <v>0.0</v>
      </c>
      <c r="Y281" s="31">
        <f>IF(Y280+AI281-O281&lt;=0.01,0,ROUND(Y280+AI281-O281,2))</f>
        <v>0.0</v>
      </c>
      <c r="Z281" s="31">
        <f>IF(Z280+AJ281-P281&lt;=0.01,0,ROUND(Z280+AJ281-P281,2))</f>
        <v>0.0</v>
      </c>
      <c r="AA281" s="31">
        <f>IF(AA280+AK281-Q281&lt;=0.01,0,ROUND(AA280+AK281-Q281,2))</f>
        <v>0.0</v>
      </c>
      <c r="AB281" s="31">
        <f>ROUND(R280*AB$5/1200,2)</f>
        <v>0.0</v>
      </c>
      <c r="AC281" s="31">
        <f>ROUND(S280*AC$5/1200,2)</f>
        <v>0.0</v>
      </c>
      <c r="AD281" s="31">
        <f>ROUND(T280*AD$5/1200,2)</f>
        <v>0.0</v>
      </c>
      <c r="AE281" s="31">
        <f>ROUND(U280*AE$5/1200,2)</f>
        <v>0.0</v>
      </c>
      <c r="AF281" s="31">
        <f>ROUND(V280*AF$5/1200,2)</f>
        <v>0.0</v>
      </c>
      <c r="AG281" s="31">
        <f>ROUND(W280*AG$5/1200,2)</f>
        <v>0.0</v>
      </c>
      <c r="AH281" s="31">
        <f>ROUND(X280*AH$5/1200,2)</f>
        <v>0.0</v>
      </c>
      <c r="AI281" s="31">
        <f>ROUND(Y280*AI$5/1200,2)</f>
        <v>0.0</v>
      </c>
      <c r="AJ281" s="31">
        <f>ROUND(Z280*AJ$5/1200,2)</f>
        <v>0.0</v>
      </c>
      <c r="AK281" s="31">
        <f>ROUND(AA280*AK$5/1200,2)</f>
        <v>0.0</v>
      </c>
      <c r="AL281" s="31">
        <f>MIN(AL$5,R280+AB281)</f>
        <v>0.0</v>
      </c>
      <c r="AM281" s="31">
        <f>MIN(AM$5,S280+AC281)</f>
        <v>0.0</v>
      </c>
      <c r="AN281" s="31">
        <f>MIN(AN$5,T280+AD281)</f>
        <v>0.0</v>
      </c>
      <c r="AO281" s="31">
        <f>MIN(AO$5,U280+AE281)</f>
        <v>0.0</v>
      </c>
      <c r="AP281" s="31">
        <f>MIN(AP$5,V280+AF281)</f>
        <v>0.0</v>
      </c>
      <c r="AQ281" s="31">
        <f>MIN(AQ$5,W280+AG281)</f>
        <v>0.0</v>
      </c>
      <c r="AR281" s="31">
        <f>MIN(AR$5,X280+AH281)</f>
        <v>0.0</v>
      </c>
      <c r="AS281" s="31">
        <f>MIN(AS$5,Y280+AI281)</f>
        <v>0.0</v>
      </c>
      <c r="AT281" s="31">
        <f>MIN(AT$5,Z280+AJ281)</f>
        <v>0.0</v>
      </c>
      <c r="AU281" s="31">
        <f>MIN(AU$5,AA280+AK281)</f>
        <v>0.0</v>
      </c>
    </row>
    <row r="282">
      <c r="A282" s="25" t="str">
        <f>IF(F281&gt;0.005,277,"")</f>
        <v/>
      </c>
      <c r="B282" s="33" t="str">
        <f>IF(A282="","",EDATE(Долги!$D$5,276))</f>
        <v/>
      </c>
      <c r="C282" s="31">
        <f>SUM(H282:Q282)</f>
        <v>0.0</v>
      </c>
      <c r="D282" s="31">
        <f>SUM(AB282:AK282)</f>
        <v>0.0</v>
      </c>
      <c r="E282" s="31">
        <f>C282-D282</f>
        <v>0.0</v>
      </c>
      <c r="F282" s="31">
        <f>SUM(R282:AA282)</f>
        <v>0.0</v>
      </c>
      <c r="G282" s="34" t="str">
        <f>IF(OR(A282="",$F$5&lt;=0),"",REPT("█",ROUND(20*F282/$F$5,0)))</f>
        <v/>
      </c>
      <c r="H282" s="31">
        <f>AL282+MIN(R281+AB282-AL282,MAX(0,ROUND(Долги!$D$19-SUM($AL282:$AU282),2)))</f>
        <v>0.0</v>
      </c>
      <c r="I282" s="31">
        <f>AM282+MIN(S281+AC282-AM282,MAX(0,ROUND(ROUND(Долги!$D$19-SUM($AL282:$AU282),2)-(SUM($H282:H282)-SUM($AL282:AL282)),2)))</f>
        <v>0.0</v>
      </c>
      <c r="J282" s="31">
        <f>AN282+MIN(T281+AD282-AN282,MAX(0,ROUND(ROUND(Долги!$D$19-SUM($AL282:$AU282),2)-(SUM($H282:I282)-SUM($AL282:AM282)),2)))</f>
        <v>0.0</v>
      </c>
      <c r="K282" s="31">
        <f>AO282+MIN(U281+AE282-AO282,MAX(0,ROUND(ROUND(Долги!$D$19-SUM($AL282:$AU282),2)-(SUM($H282:J282)-SUM($AL282:AN282)),2)))</f>
        <v>0.0</v>
      </c>
      <c r="L282" s="31">
        <f>AP282+MIN(V281+AF282-AP282,MAX(0,ROUND(ROUND(Долги!$D$19-SUM($AL282:$AU282),2)-(SUM($H282:K282)-SUM($AL282:AO282)),2)))</f>
        <v>0.0</v>
      </c>
      <c r="M282" s="31">
        <f>AQ282+MIN(W281+AG282-AQ282,MAX(0,ROUND(ROUND(Долги!$D$19-SUM($AL282:$AU282),2)-(SUM($H282:L282)-SUM($AL282:AP282)),2)))</f>
        <v>0.0</v>
      </c>
      <c r="N282" s="31">
        <f>AR282+MIN(X281+AH282-AR282,MAX(0,ROUND(ROUND(Долги!$D$19-SUM($AL282:$AU282),2)-(SUM($H282:M282)-SUM($AL282:AQ282)),2)))</f>
        <v>0.0</v>
      </c>
      <c r="O282" s="31">
        <f>AS282+MIN(Y281+AI282-AS282,MAX(0,ROUND(ROUND(Долги!$D$19-SUM($AL282:$AU282),2)-(SUM($H282:N282)-SUM($AL282:AR282)),2)))</f>
        <v>0.0</v>
      </c>
      <c r="P282" s="31">
        <f>AT282+MIN(Z281+AJ282-AT282,MAX(0,ROUND(ROUND(Долги!$D$19-SUM($AL282:$AU282),2)-(SUM($H282:O282)-SUM($AL282:AS282)),2)))</f>
        <v>0.0</v>
      </c>
      <c r="Q282" s="31">
        <f>AU282+MIN(AA281+AK282-AU282,MAX(0,ROUND(ROUND(Долги!$D$19-SUM($AL282:$AU282),2)-(SUM($H282:P282)-SUM($AL282:AT282)),2)))</f>
        <v>0.0</v>
      </c>
      <c r="R282" s="31">
        <f>IF(R281+AB282-H282&lt;=0.01,0,ROUND(R281+AB282-H282,2))</f>
        <v>0.0</v>
      </c>
      <c r="S282" s="31">
        <f>IF(S281+AC282-I282&lt;=0.01,0,ROUND(S281+AC282-I282,2))</f>
        <v>0.0</v>
      </c>
      <c r="T282" s="31">
        <f>IF(T281+AD282-J282&lt;=0.01,0,ROUND(T281+AD282-J282,2))</f>
        <v>0.0</v>
      </c>
      <c r="U282" s="31">
        <f>IF(U281+AE282-K282&lt;=0.01,0,ROUND(U281+AE282-K282,2))</f>
        <v>0.0</v>
      </c>
      <c r="V282" s="31">
        <f>IF(V281+AF282-L282&lt;=0.01,0,ROUND(V281+AF282-L282,2))</f>
        <v>0.0</v>
      </c>
      <c r="W282" s="31">
        <f>IF(W281+AG282-M282&lt;=0.01,0,ROUND(W281+AG282-M282,2))</f>
        <v>0.0</v>
      </c>
      <c r="X282" s="31">
        <f>IF(X281+AH282-N282&lt;=0.01,0,ROUND(X281+AH282-N282,2))</f>
        <v>0.0</v>
      </c>
      <c r="Y282" s="31">
        <f>IF(Y281+AI282-O282&lt;=0.01,0,ROUND(Y281+AI282-O282,2))</f>
        <v>0.0</v>
      </c>
      <c r="Z282" s="31">
        <f>IF(Z281+AJ282-P282&lt;=0.01,0,ROUND(Z281+AJ282-P282,2))</f>
        <v>0.0</v>
      </c>
      <c r="AA282" s="31">
        <f>IF(AA281+AK282-Q282&lt;=0.01,0,ROUND(AA281+AK282-Q282,2))</f>
        <v>0.0</v>
      </c>
      <c r="AB282" s="31">
        <f>ROUND(R281*AB$5/1200,2)</f>
        <v>0.0</v>
      </c>
      <c r="AC282" s="31">
        <f>ROUND(S281*AC$5/1200,2)</f>
        <v>0.0</v>
      </c>
      <c r="AD282" s="31">
        <f>ROUND(T281*AD$5/1200,2)</f>
        <v>0.0</v>
      </c>
      <c r="AE282" s="31">
        <f>ROUND(U281*AE$5/1200,2)</f>
        <v>0.0</v>
      </c>
      <c r="AF282" s="31">
        <f>ROUND(V281*AF$5/1200,2)</f>
        <v>0.0</v>
      </c>
      <c r="AG282" s="31">
        <f>ROUND(W281*AG$5/1200,2)</f>
        <v>0.0</v>
      </c>
      <c r="AH282" s="31">
        <f>ROUND(X281*AH$5/1200,2)</f>
        <v>0.0</v>
      </c>
      <c r="AI282" s="31">
        <f>ROUND(Y281*AI$5/1200,2)</f>
        <v>0.0</v>
      </c>
      <c r="AJ282" s="31">
        <f>ROUND(Z281*AJ$5/1200,2)</f>
        <v>0.0</v>
      </c>
      <c r="AK282" s="31">
        <f>ROUND(AA281*AK$5/1200,2)</f>
        <v>0.0</v>
      </c>
      <c r="AL282" s="31">
        <f>MIN(AL$5,R281+AB282)</f>
        <v>0.0</v>
      </c>
      <c r="AM282" s="31">
        <f>MIN(AM$5,S281+AC282)</f>
        <v>0.0</v>
      </c>
      <c r="AN282" s="31">
        <f>MIN(AN$5,T281+AD282)</f>
        <v>0.0</v>
      </c>
      <c r="AO282" s="31">
        <f>MIN(AO$5,U281+AE282)</f>
        <v>0.0</v>
      </c>
      <c r="AP282" s="31">
        <f>MIN(AP$5,V281+AF282)</f>
        <v>0.0</v>
      </c>
      <c r="AQ282" s="31">
        <f>MIN(AQ$5,W281+AG282)</f>
        <v>0.0</v>
      </c>
      <c r="AR282" s="31">
        <f>MIN(AR$5,X281+AH282)</f>
        <v>0.0</v>
      </c>
      <c r="AS282" s="31">
        <f>MIN(AS$5,Y281+AI282)</f>
        <v>0.0</v>
      </c>
      <c r="AT282" s="31">
        <f>MIN(AT$5,Z281+AJ282)</f>
        <v>0.0</v>
      </c>
      <c r="AU282" s="31">
        <f>MIN(AU$5,AA281+AK282)</f>
        <v>0.0</v>
      </c>
    </row>
    <row r="283">
      <c r="A283" s="25" t="str">
        <f>IF(F282&gt;0.005,278,"")</f>
        <v/>
      </c>
      <c r="B283" s="33" t="str">
        <f>IF(A283="","",EDATE(Долги!$D$5,277))</f>
        <v/>
      </c>
      <c r="C283" s="31">
        <f>SUM(H283:Q283)</f>
        <v>0.0</v>
      </c>
      <c r="D283" s="31">
        <f>SUM(AB283:AK283)</f>
        <v>0.0</v>
      </c>
      <c r="E283" s="31">
        <f>C283-D283</f>
        <v>0.0</v>
      </c>
      <c r="F283" s="31">
        <f>SUM(R283:AA283)</f>
        <v>0.0</v>
      </c>
      <c r="G283" s="34" t="str">
        <f>IF(OR(A283="",$F$5&lt;=0),"",REPT("█",ROUND(20*F283/$F$5,0)))</f>
        <v/>
      </c>
      <c r="H283" s="31">
        <f>AL283+MIN(R282+AB283-AL283,MAX(0,ROUND(Долги!$D$19-SUM($AL283:$AU283),2)))</f>
        <v>0.0</v>
      </c>
      <c r="I283" s="31">
        <f>AM283+MIN(S282+AC283-AM283,MAX(0,ROUND(ROUND(Долги!$D$19-SUM($AL283:$AU283),2)-(SUM($H283:H283)-SUM($AL283:AL283)),2)))</f>
        <v>0.0</v>
      </c>
      <c r="J283" s="31">
        <f>AN283+MIN(T282+AD283-AN283,MAX(0,ROUND(ROUND(Долги!$D$19-SUM($AL283:$AU283),2)-(SUM($H283:I283)-SUM($AL283:AM283)),2)))</f>
        <v>0.0</v>
      </c>
      <c r="K283" s="31">
        <f>AO283+MIN(U282+AE283-AO283,MAX(0,ROUND(ROUND(Долги!$D$19-SUM($AL283:$AU283),2)-(SUM($H283:J283)-SUM($AL283:AN283)),2)))</f>
        <v>0.0</v>
      </c>
      <c r="L283" s="31">
        <f>AP283+MIN(V282+AF283-AP283,MAX(0,ROUND(ROUND(Долги!$D$19-SUM($AL283:$AU283),2)-(SUM($H283:K283)-SUM($AL283:AO283)),2)))</f>
        <v>0.0</v>
      </c>
      <c r="M283" s="31">
        <f>AQ283+MIN(W282+AG283-AQ283,MAX(0,ROUND(ROUND(Долги!$D$19-SUM($AL283:$AU283),2)-(SUM($H283:L283)-SUM($AL283:AP283)),2)))</f>
        <v>0.0</v>
      </c>
      <c r="N283" s="31">
        <f>AR283+MIN(X282+AH283-AR283,MAX(0,ROUND(ROUND(Долги!$D$19-SUM($AL283:$AU283),2)-(SUM($H283:M283)-SUM($AL283:AQ283)),2)))</f>
        <v>0.0</v>
      </c>
      <c r="O283" s="31">
        <f>AS283+MIN(Y282+AI283-AS283,MAX(0,ROUND(ROUND(Долги!$D$19-SUM($AL283:$AU283),2)-(SUM($H283:N283)-SUM($AL283:AR283)),2)))</f>
        <v>0.0</v>
      </c>
      <c r="P283" s="31">
        <f>AT283+MIN(Z282+AJ283-AT283,MAX(0,ROUND(ROUND(Долги!$D$19-SUM($AL283:$AU283),2)-(SUM($H283:O283)-SUM($AL283:AS283)),2)))</f>
        <v>0.0</v>
      </c>
      <c r="Q283" s="31">
        <f>AU283+MIN(AA282+AK283-AU283,MAX(0,ROUND(ROUND(Долги!$D$19-SUM($AL283:$AU283),2)-(SUM($H283:P283)-SUM($AL283:AT283)),2)))</f>
        <v>0.0</v>
      </c>
      <c r="R283" s="31">
        <f>IF(R282+AB283-H283&lt;=0.01,0,ROUND(R282+AB283-H283,2))</f>
        <v>0.0</v>
      </c>
      <c r="S283" s="31">
        <f>IF(S282+AC283-I283&lt;=0.01,0,ROUND(S282+AC283-I283,2))</f>
        <v>0.0</v>
      </c>
      <c r="T283" s="31">
        <f>IF(T282+AD283-J283&lt;=0.01,0,ROUND(T282+AD283-J283,2))</f>
        <v>0.0</v>
      </c>
      <c r="U283" s="31">
        <f>IF(U282+AE283-K283&lt;=0.01,0,ROUND(U282+AE283-K283,2))</f>
        <v>0.0</v>
      </c>
      <c r="V283" s="31">
        <f>IF(V282+AF283-L283&lt;=0.01,0,ROUND(V282+AF283-L283,2))</f>
        <v>0.0</v>
      </c>
      <c r="W283" s="31">
        <f>IF(W282+AG283-M283&lt;=0.01,0,ROUND(W282+AG283-M283,2))</f>
        <v>0.0</v>
      </c>
      <c r="X283" s="31">
        <f>IF(X282+AH283-N283&lt;=0.01,0,ROUND(X282+AH283-N283,2))</f>
        <v>0.0</v>
      </c>
      <c r="Y283" s="31">
        <f>IF(Y282+AI283-O283&lt;=0.01,0,ROUND(Y282+AI283-O283,2))</f>
        <v>0.0</v>
      </c>
      <c r="Z283" s="31">
        <f>IF(Z282+AJ283-P283&lt;=0.01,0,ROUND(Z282+AJ283-P283,2))</f>
        <v>0.0</v>
      </c>
      <c r="AA283" s="31">
        <f>IF(AA282+AK283-Q283&lt;=0.01,0,ROUND(AA282+AK283-Q283,2))</f>
        <v>0.0</v>
      </c>
      <c r="AB283" s="31">
        <f>ROUND(R282*AB$5/1200,2)</f>
        <v>0.0</v>
      </c>
      <c r="AC283" s="31">
        <f>ROUND(S282*AC$5/1200,2)</f>
        <v>0.0</v>
      </c>
      <c r="AD283" s="31">
        <f>ROUND(T282*AD$5/1200,2)</f>
        <v>0.0</v>
      </c>
      <c r="AE283" s="31">
        <f>ROUND(U282*AE$5/1200,2)</f>
        <v>0.0</v>
      </c>
      <c r="AF283" s="31">
        <f>ROUND(V282*AF$5/1200,2)</f>
        <v>0.0</v>
      </c>
      <c r="AG283" s="31">
        <f>ROUND(W282*AG$5/1200,2)</f>
        <v>0.0</v>
      </c>
      <c r="AH283" s="31">
        <f>ROUND(X282*AH$5/1200,2)</f>
        <v>0.0</v>
      </c>
      <c r="AI283" s="31">
        <f>ROUND(Y282*AI$5/1200,2)</f>
        <v>0.0</v>
      </c>
      <c r="AJ283" s="31">
        <f>ROUND(Z282*AJ$5/1200,2)</f>
        <v>0.0</v>
      </c>
      <c r="AK283" s="31">
        <f>ROUND(AA282*AK$5/1200,2)</f>
        <v>0.0</v>
      </c>
      <c r="AL283" s="31">
        <f>MIN(AL$5,R282+AB283)</f>
        <v>0.0</v>
      </c>
      <c r="AM283" s="31">
        <f>MIN(AM$5,S282+AC283)</f>
        <v>0.0</v>
      </c>
      <c r="AN283" s="31">
        <f>MIN(AN$5,T282+AD283)</f>
        <v>0.0</v>
      </c>
      <c r="AO283" s="31">
        <f>MIN(AO$5,U282+AE283)</f>
        <v>0.0</v>
      </c>
      <c r="AP283" s="31">
        <f>MIN(AP$5,V282+AF283)</f>
        <v>0.0</v>
      </c>
      <c r="AQ283" s="31">
        <f>MIN(AQ$5,W282+AG283)</f>
        <v>0.0</v>
      </c>
      <c r="AR283" s="31">
        <f>MIN(AR$5,X282+AH283)</f>
        <v>0.0</v>
      </c>
      <c r="AS283" s="31">
        <f>MIN(AS$5,Y282+AI283)</f>
        <v>0.0</v>
      </c>
      <c r="AT283" s="31">
        <f>MIN(AT$5,Z282+AJ283)</f>
        <v>0.0</v>
      </c>
      <c r="AU283" s="31">
        <f>MIN(AU$5,AA282+AK283)</f>
        <v>0.0</v>
      </c>
    </row>
    <row r="284">
      <c r="A284" s="25" t="str">
        <f>IF(F283&gt;0.005,279,"")</f>
        <v/>
      </c>
      <c r="B284" s="33" t="str">
        <f>IF(A284="","",EDATE(Долги!$D$5,278))</f>
        <v/>
      </c>
      <c r="C284" s="31">
        <f>SUM(H284:Q284)</f>
        <v>0.0</v>
      </c>
      <c r="D284" s="31">
        <f>SUM(AB284:AK284)</f>
        <v>0.0</v>
      </c>
      <c r="E284" s="31">
        <f>C284-D284</f>
        <v>0.0</v>
      </c>
      <c r="F284" s="31">
        <f>SUM(R284:AA284)</f>
        <v>0.0</v>
      </c>
      <c r="G284" s="34" t="str">
        <f>IF(OR(A284="",$F$5&lt;=0),"",REPT("█",ROUND(20*F284/$F$5,0)))</f>
        <v/>
      </c>
      <c r="H284" s="31">
        <f>AL284+MIN(R283+AB284-AL284,MAX(0,ROUND(Долги!$D$19-SUM($AL284:$AU284),2)))</f>
        <v>0.0</v>
      </c>
      <c r="I284" s="31">
        <f>AM284+MIN(S283+AC284-AM284,MAX(0,ROUND(ROUND(Долги!$D$19-SUM($AL284:$AU284),2)-(SUM($H284:H284)-SUM($AL284:AL284)),2)))</f>
        <v>0.0</v>
      </c>
      <c r="J284" s="31">
        <f>AN284+MIN(T283+AD284-AN284,MAX(0,ROUND(ROUND(Долги!$D$19-SUM($AL284:$AU284),2)-(SUM($H284:I284)-SUM($AL284:AM284)),2)))</f>
        <v>0.0</v>
      </c>
      <c r="K284" s="31">
        <f>AO284+MIN(U283+AE284-AO284,MAX(0,ROUND(ROUND(Долги!$D$19-SUM($AL284:$AU284),2)-(SUM($H284:J284)-SUM($AL284:AN284)),2)))</f>
        <v>0.0</v>
      </c>
      <c r="L284" s="31">
        <f>AP284+MIN(V283+AF284-AP284,MAX(0,ROUND(ROUND(Долги!$D$19-SUM($AL284:$AU284),2)-(SUM($H284:K284)-SUM($AL284:AO284)),2)))</f>
        <v>0.0</v>
      </c>
      <c r="M284" s="31">
        <f>AQ284+MIN(W283+AG284-AQ284,MAX(0,ROUND(ROUND(Долги!$D$19-SUM($AL284:$AU284),2)-(SUM($H284:L284)-SUM($AL284:AP284)),2)))</f>
        <v>0.0</v>
      </c>
      <c r="N284" s="31">
        <f>AR284+MIN(X283+AH284-AR284,MAX(0,ROUND(ROUND(Долги!$D$19-SUM($AL284:$AU284),2)-(SUM($H284:M284)-SUM($AL284:AQ284)),2)))</f>
        <v>0.0</v>
      </c>
      <c r="O284" s="31">
        <f>AS284+MIN(Y283+AI284-AS284,MAX(0,ROUND(ROUND(Долги!$D$19-SUM($AL284:$AU284),2)-(SUM($H284:N284)-SUM($AL284:AR284)),2)))</f>
        <v>0.0</v>
      </c>
      <c r="P284" s="31">
        <f>AT284+MIN(Z283+AJ284-AT284,MAX(0,ROUND(ROUND(Долги!$D$19-SUM($AL284:$AU284),2)-(SUM($H284:O284)-SUM($AL284:AS284)),2)))</f>
        <v>0.0</v>
      </c>
      <c r="Q284" s="31">
        <f>AU284+MIN(AA283+AK284-AU284,MAX(0,ROUND(ROUND(Долги!$D$19-SUM($AL284:$AU284),2)-(SUM($H284:P284)-SUM($AL284:AT284)),2)))</f>
        <v>0.0</v>
      </c>
      <c r="R284" s="31">
        <f>IF(R283+AB284-H284&lt;=0.01,0,ROUND(R283+AB284-H284,2))</f>
        <v>0.0</v>
      </c>
      <c r="S284" s="31">
        <f>IF(S283+AC284-I284&lt;=0.01,0,ROUND(S283+AC284-I284,2))</f>
        <v>0.0</v>
      </c>
      <c r="T284" s="31">
        <f>IF(T283+AD284-J284&lt;=0.01,0,ROUND(T283+AD284-J284,2))</f>
        <v>0.0</v>
      </c>
      <c r="U284" s="31">
        <f>IF(U283+AE284-K284&lt;=0.01,0,ROUND(U283+AE284-K284,2))</f>
        <v>0.0</v>
      </c>
      <c r="V284" s="31">
        <f>IF(V283+AF284-L284&lt;=0.01,0,ROUND(V283+AF284-L284,2))</f>
        <v>0.0</v>
      </c>
      <c r="W284" s="31">
        <f>IF(W283+AG284-M284&lt;=0.01,0,ROUND(W283+AG284-M284,2))</f>
        <v>0.0</v>
      </c>
      <c r="X284" s="31">
        <f>IF(X283+AH284-N284&lt;=0.01,0,ROUND(X283+AH284-N284,2))</f>
        <v>0.0</v>
      </c>
      <c r="Y284" s="31">
        <f>IF(Y283+AI284-O284&lt;=0.01,0,ROUND(Y283+AI284-O284,2))</f>
        <v>0.0</v>
      </c>
      <c r="Z284" s="31">
        <f>IF(Z283+AJ284-P284&lt;=0.01,0,ROUND(Z283+AJ284-P284,2))</f>
        <v>0.0</v>
      </c>
      <c r="AA284" s="31">
        <f>IF(AA283+AK284-Q284&lt;=0.01,0,ROUND(AA283+AK284-Q284,2))</f>
        <v>0.0</v>
      </c>
      <c r="AB284" s="31">
        <f>ROUND(R283*AB$5/1200,2)</f>
        <v>0.0</v>
      </c>
      <c r="AC284" s="31">
        <f>ROUND(S283*AC$5/1200,2)</f>
        <v>0.0</v>
      </c>
      <c r="AD284" s="31">
        <f>ROUND(T283*AD$5/1200,2)</f>
        <v>0.0</v>
      </c>
      <c r="AE284" s="31">
        <f>ROUND(U283*AE$5/1200,2)</f>
        <v>0.0</v>
      </c>
      <c r="AF284" s="31">
        <f>ROUND(V283*AF$5/1200,2)</f>
        <v>0.0</v>
      </c>
      <c r="AG284" s="31">
        <f>ROUND(W283*AG$5/1200,2)</f>
        <v>0.0</v>
      </c>
      <c r="AH284" s="31">
        <f>ROUND(X283*AH$5/1200,2)</f>
        <v>0.0</v>
      </c>
      <c r="AI284" s="31">
        <f>ROUND(Y283*AI$5/1200,2)</f>
        <v>0.0</v>
      </c>
      <c r="AJ284" s="31">
        <f>ROUND(Z283*AJ$5/1200,2)</f>
        <v>0.0</v>
      </c>
      <c r="AK284" s="31">
        <f>ROUND(AA283*AK$5/1200,2)</f>
        <v>0.0</v>
      </c>
      <c r="AL284" s="31">
        <f>MIN(AL$5,R283+AB284)</f>
        <v>0.0</v>
      </c>
      <c r="AM284" s="31">
        <f>MIN(AM$5,S283+AC284)</f>
        <v>0.0</v>
      </c>
      <c r="AN284" s="31">
        <f>MIN(AN$5,T283+AD284)</f>
        <v>0.0</v>
      </c>
      <c r="AO284" s="31">
        <f>MIN(AO$5,U283+AE284)</f>
        <v>0.0</v>
      </c>
      <c r="AP284" s="31">
        <f>MIN(AP$5,V283+AF284)</f>
        <v>0.0</v>
      </c>
      <c r="AQ284" s="31">
        <f>MIN(AQ$5,W283+AG284)</f>
        <v>0.0</v>
      </c>
      <c r="AR284" s="31">
        <f>MIN(AR$5,X283+AH284)</f>
        <v>0.0</v>
      </c>
      <c r="AS284" s="31">
        <f>MIN(AS$5,Y283+AI284)</f>
        <v>0.0</v>
      </c>
      <c r="AT284" s="31">
        <f>MIN(AT$5,Z283+AJ284)</f>
        <v>0.0</v>
      </c>
      <c r="AU284" s="31">
        <f>MIN(AU$5,AA283+AK284)</f>
        <v>0.0</v>
      </c>
    </row>
    <row r="285">
      <c r="A285" s="25" t="str">
        <f>IF(F284&gt;0.005,280,"")</f>
        <v/>
      </c>
      <c r="B285" s="33" t="str">
        <f>IF(A285="","",EDATE(Долги!$D$5,279))</f>
        <v/>
      </c>
      <c r="C285" s="31">
        <f>SUM(H285:Q285)</f>
        <v>0.0</v>
      </c>
      <c r="D285" s="31">
        <f>SUM(AB285:AK285)</f>
        <v>0.0</v>
      </c>
      <c r="E285" s="31">
        <f>C285-D285</f>
        <v>0.0</v>
      </c>
      <c r="F285" s="31">
        <f>SUM(R285:AA285)</f>
        <v>0.0</v>
      </c>
      <c r="G285" s="34" t="str">
        <f>IF(OR(A285="",$F$5&lt;=0),"",REPT("█",ROUND(20*F285/$F$5,0)))</f>
        <v/>
      </c>
      <c r="H285" s="31">
        <f>AL285+MIN(R284+AB285-AL285,MAX(0,ROUND(Долги!$D$19-SUM($AL285:$AU285),2)))</f>
        <v>0.0</v>
      </c>
      <c r="I285" s="31">
        <f>AM285+MIN(S284+AC285-AM285,MAX(0,ROUND(ROUND(Долги!$D$19-SUM($AL285:$AU285),2)-(SUM($H285:H285)-SUM($AL285:AL285)),2)))</f>
        <v>0.0</v>
      </c>
      <c r="J285" s="31">
        <f>AN285+MIN(T284+AD285-AN285,MAX(0,ROUND(ROUND(Долги!$D$19-SUM($AL285:$AU285),2)-(SUM($H285:I285)-SUM($AL285:AM285)),2)))</f>
        <v>0.0</v>
      </c>
      <c r="K285" s="31">
        <f>AO285+MIN(U284+AE285-AO285,MAX(0,ROUND(ROUND(Долги!$D$19-SUM($AL285:$AU285),2)-(SUM($H285:J285)-SUM($AL285:AN285)),2)))</f>
        <v>0.0</v>
      </c>
      <c r="L285" s="31">
        <f>AP285+MIN(V284+AF285-AP285,MAX(0,ROUND(ROUND(Долги!$D$19-SUM($AL285:$AU285),2)-(SUM($H285:K285)-SUM($AL285:AO285)),2)))</f>
        <v>0.0</v>
      </c>
      <c r="M285" s="31">
        <f>AQ285+MIN(W284+AG285-AQ285,MAX(0,ROUND(ROUND(Долги!$D$19-SUM($AL285:$AU285),2)-(SUM($H285:L285)-SUM($AL285:AP285)),2)))</f>
        <v>0.0</v>
      </c>
      <c r="N285" s="31">
        <f>AR285+MIN(X284+AH285-AR285,MAX(0,ROUND(ROUND(Долги!$D$19-SUM($AL285:$AU285),2)-(SUM($H285:M285)-SUM($AL285:AQ285)),2)))</f>
        <v>0.0</v>
      </c>
      <c r="O285" s="31">
        <f>AS285+MIN(Y284+AI285-AS285,MAX(0,ROUND(ROUND(Долги!$D$19-SUM($AL285:$AU285),2)-(SUM($H285:N285)-SUM($AL285:AR285)),2)))</f>
        <v>0.0</v>
      </c>
      <c r="P285" s="31">
        <f>AT285+MIN(Z284+AJ285-AT285,MAX(0,ROUND(ROUND(Долги!$D$19-SUM($AL285:$AU285),2)-(SUM($H285:O285)-SUM($AL285:AS285)),2)))</f>
        <v>0.0</v>
      </c>
      <c r="Q285" s="31">
        <f>AU285+MIN(AA284+AK285-AU285,MAX(0,ROUND(ROUND(Долги!$D$19-SUM($AL285:$AU285),2)-(SUM($H285:P285)-SUM($AL285:AT285)),2)))</f>
        <v>0.0</v>
      </c>
      <c r="R285" s="31">
        <f>IF(R284+AB285-H285&lt;=0.01,0,ROUND(R284+AB285-H285,2))</f>
        <v>0.0</v>
      </c>
      <c r="S285" s="31">
        <f>IF(S284+AC285-I285&lt;=0.01,0,ROUND(S284+AC285-I285,2))</f>
        <v>0.0</v>
      </c>
      <c r="T285" s="31">
        <f>IF(T284+AD285-J285&lt;=0.01,0,ROUND(T284+AD285-J285,2))</f>
        <v>0.0</v>
      </c>
      <c r="U285" s="31">
        <f>IF(U284+AE285-K285&lt;=0.01,0,ROUND(U284+AE285-K285,2))</f>
        <v>0.0</v>
      </c>
      <c r="V285" s="31">
        <f>IF(V284+AF285-L285&lt;=0.01,0,ROUND(V284+AF285-L285,2))</f>
        <v>0.0</v>
      </c>
      <c r="W285" s="31">
        <f>IF(W284+AG285-M285&lt;=0.01,0,ROUND(W284+AG285-M285,2))</f>
        <v>0.0</v>
      </c>
      <c r="X285" s="31">
        <f>IF(X284+AH285-N285&lt;=0.01,0,ROUND(X284+AH285-N285,2))</f>
        <v>0.0</v>
      </c>
      <c r="Y285" s="31">
        <f>IF(Y284+AI285-O285&lt;=0.01,0,ROUND(Y284+AI285-O285,2))</f>
        <v>0.0</v>
      </c>
      <c r="Z285" s="31">
        <f>IF(Z284+AJ285-P285&lt;=0.01,0,ROUND(Z284+AJ285-P285,2))</f>
        <v>0.0</v>
      </c>
      <c r="AA285" s="31">
        <f>IF(AA284+AK285-Q285&lt;=0.01,0,ROUND(AA284+AK285-Q285,2))</f>
        <v>0.0</v>
      </c>
      <c r="AB285" s="31">
        <f>ROUND(R284*AB$5/1200,2)</f>
        <v>0.0</v>
      </c>
      <c r="AC285" s="31">
        <f>ROUND(S284*AC$5/1200,2)</f>
        <v>0.0</v>
      </c>
      <c r="AD285" s="31">
        <f>ROUND(T284*AD$5/1200,2)</f>
        <v>0.0</v>
      </c>
      <c r="AE285" s="31">
        <f>ROUND(U284*AE$5/1200,2)</f>
        <v>0.0</v>
      </c>
      <c r="AF285" s="31">
        <f>ROUND(V284*AF$5/1200,2)</f>
        <v>0.0</v>
      </c>
      <c r="AG285" s="31">
        <f>ROUND(W284*AG$5/1200,2)</f>
        <v>0.0</v>
      </c>
      <c r="AH285" s="31">
        <f>ROUND(X284*AH$5/1200,2)</f>
        <v>0.0</v>
      </c>
      <c r="AI285" s="31">
        <f>ROUND(Y284*AI$5/1200,2)</f>
        <v>0.0</v>
      </c>
      <c r="AJ285" s="31">
        <f>ROUND(Z284*AJ$5/1200,2)</f>
        <v>0.0</v>
      </c>
      <c r="AK285" s="31">
        <f>ROUND(AA284*AK$5/1200,2)</f>
        <v>0.0</v>
      </c>
      <c r="AL285" s="31">
        <f>MIN(AL$5,R284+AB285)</f>
        <v>0.0</v>
      </c>
      <c r="AM285" s="31">
        <f>MIN(AM$5,S284+AC285)</f>
        <v>0.0</v>
      </c>
      <c r="AN285" s="31">
        <f>MIN(AN$5,T284+AD285)</f>
        <v>0.0</v>
      </c>
      <c r="AO285" s="31">
        <f>MIN(AO$5,U284+AE285)</f>
        <v>0.0</v>
      </c>
      <c r="AP285" s="31">
        <f>MIN(AP$5,V284+AF285)</f>
        <v>0.0</v>
      </c>
      <c r="AQ285" s="31">
        <f>MIN(AQ$5,W284+AG285)</f>
        <v>0.0</v>
      </c>
      <c r="AR285" s="31">
        <f>MIN(AR$5,X284+AH285)</f>
        <v>0.0</v>
      </c>
      <c r="AS285" s="31">
        <f>MIN(AS$5,Y284+AI285)</f>
        <v>0.0</v>
      </c>
      <c r="AT285" s="31">
        <f>MIN(AT$5,Z284+AJ285)</f>
        <v>0.0</v>
      </c>
      <c r="AU285" s="31">
        <f>MIN(AU$5,AA284+AK285)</f>
        <v>0.0</v>
      </c>
    </row>
    <row r="286">
      <c r="A286" s="25" t="str">
        <f>IF(F285&gt;0.005,281,"")</f>
        <v/>
      </c>
      <c r="B286" s="33" t="str">
        <f>IF(A286="","",EDATE(Долги!$D$5,280))</f>
        <v/>
      </c>
      <c r="C286" s="31">
        <f>SUM(H286:Q286)</f>
        <v>0.0</v>
      </c>
      <c r="D286" s="31">
        <f>SUM(AB286:AK286)</f>
        <v>0.0</v>
      </c>
      <c r="E286" s="31">
        <f>C286-D286</f>
        <v>0.0</v>
      </c>
      <c r="F286" s="31">
        <f>SUM(R286:AA286)</f>
        <v>0.0</v>
      </c>
      <c r="G286" s="34" t="str">
        <f>IF(OR(A286="",$F$5&lt;=0),"",REPT("█",ROUND(20*F286/$F$5,0)))</f>
        <v/>
      </c>
      <c r="H286" s="31">
        <f>AL286+MIN(R285+AB286-AL286,MAX(0,ROUND(Долги!$D$19-SUM($AL286:$AU286),2)))</f>
        <v>0.0</v>
      </c>
      <c r="I286" s="31">
        <f>AM286+MIN(S285+AC286-AM286,MAX(0,ROUND(ROUND(Долги!$D$19-SUM($AL286:$AU286),2)-(SUM($H286:H286)-SUM($AL286:AL286)),2)))</f>
        <v>0.0</v>
      </c>
      <c r="J286" s="31">
        <f>AN286+MIN(T285+AD286-AN286,MAX(0,ROUND(ROUND(Долги!$D$19-SUM($AL286:$AU286),2)-(SUM($H286:I286)-SUM($AL286:AM286)),2)))</f>
        <v>0.0</v>
      </c>
      <c r="K286" s="31">
        <f>AO286+MIN(U285+AE286-AO286,MAX(0,ROUND(ROUND(Долги!$D$19-SUM($AL286:$AU286),2)-(SUM($H286:J286)-SUM($AL286:AN286)),2)))</f>
        <v>0.0</v>
      </c>
      <c r="L286" s="31">
        <f>AP286+MIN(V285+AF286-AP286,MAX(0,ROUND(ROUND(Долги!$D$19-SUM($AL286:$AU286),2)-(SUM($H286:K286)-SUM($AL286:AO286)),2)))</f>
        <v>0.0</v>
      </c>
      <c r="M286" s="31">
        <f>AQ286+MIN(W285+AG286-AQ286,MAX(0,ROUND(ROUND(Долги!$D$19-SUM($AL286:$AU286),2)-(SUM($H286:L286)-SUM($AL286:AP286)),2)))</f>
        <v>0.0</v>
      </c>
      <c r="N286" s="31">
        <f>AR286+MIN(X285+AH286-AR286,MAX(0,ROUND(ROUND(Долги!$D$19-SUM($AL286:$AU286),2)-(SUM($H286:M286)-SUM($AL286:AQ286)),2)))</f>
        <v>0.0</v>
      </c>
      <c r="O286" s="31">
        <f>AS286+MIN(Y285+AI286-AS286,MAX(0,ROUND(ROUND(Долги!$D$19-SUM($AL286:$AU286),2)-(SUM($H286:N286)-SUM($AL286:AR286)),2)))</f>
        <v>0.0</v>
      </c>
      <c r="P286" s="31">
        <f>AT286+MIN(Z285+AJ286-AT286,MAX(0,ROUND(ROUND(Долги!$D$19-SUM($AL286:$AU286),2)-(SUM($H286:O286)-SUM($AL286:AS286)),2)))</f>
        <v>0.0</v>
      </c>
      <c r="Q286" s="31">
        <f>AU286+MIN(AA285+AK286-AU286,MAX(0,ROUND(ROUND(Долги!$D$19-SUM($AL286:$AU286),2)-(SUM($H286:P286)-SUM($AL286:AT286)),2)))</f>
        <v>0.0</v>
      </c>
      <c r="R286" s="31">
        <f>IF(R285+AB286-H286&lt;=0.01,0,ROUND(R285+AB286-H286,2))</f>
        <v>0.0</v>
      </c>
      <c r="S286" s="31">
        <f>IF(S285+AC286-I286&lt;=0.01,0,ROUND(S285+AC286-I286,2))</f>
        <v>0.0</v>
      </c>
      <c r="T286" s="31">
        <f>IF(T285+AD286-J286&lt;=0.01,0,ROUND(T285+AD286-J286,2))</f>
        <v>0.0</v>
      </c>
      <c r="U286" s="31">
        <f>IF(U285+AE286-K286&lt;=0.01,0,ROUND(U285+AE286-K286,2))</f>
        <v>0.0</v>
      </c>
      <c r="V286" s="31">
        <f>IF(V285+AF286-L286&lt;=0.01,0,ROUND(V285+AF286-L286,2))</f>
        <v>0.0</v>
      </c>
      <c r="W286" s="31">
        <f>IF(W285+AG286-M286&lt;=0.01,0,ROUND(W285+AG286-M286,2))</f>
        <v>0.0</v>
      </c>
      <c r="X286" s="31">
        <f>IF(X285+AH286-N286&lt;=0.01,0,ROUND(X285+AH286-N286,2))</f>
        <v>0.0</v>
      </c>
      <c r="Y286" s="31">
        <f>IF(Y285+AI286-O286&lt;=0.01,0,ROUND(Y285+AI286-O286,2))</f>
        <v>0.0</v>
      </c>
      <c r="Z286" s="31">
        <f>IF(Z285+AJ286-P286&lt;=0.01,0,ROUND(Z285+AJ286-P286,2))</f>
        <v>0.0</v>
      </c>
      <c r="AA286" s="31">
        <f>IF(AA285+AK286-Q286&lt;=0.01,0,ROUND(AA285+AK286-Q286,2))</f>
        <v>0.0</v>
      </c>
      <c r="AB286" s="31">
        <f>ROUND(R285*AB$5/1200,2)</f>
        <v>0.0</v>
      </c>
      <c r="AC286" s="31">
        <f>ROUND(S285*AC$5/1200,2)</f>
        <v>0.0</v>
      </c>
      <c r="AD286" s="31">
        <f>ROUND(T285*AD$5/1200,2)</f>
        <v>0.0</v>
      </c>
      <c r="AE286" s="31">
        <f>ROUND(U285*AE$5/1200,2)</f>
        <v>0.0</v>
      </c>
      <c r="AF286" s="31">
        <f>ROUND(V285*AF$5/1200,2)</f>
        <v>0.0</v>
      </c>
      <c r="AG286" s="31">
        <f>ROUND(W285*AG$5/1200,2)</f>
        <v>0.0</v>
      </c>
      <c r="AH286" s="31">
        <f>ROUND(X285*AH$5/1200,2)</f>
        <v>0.0</v>
      </c>
      <c r="AI286" s="31">
        <f>ROUND(Y285*AI$5/1200,2)</f>
        <v>0.0</v>
      </c>
      <c r="AJ286" s="31">
        <f>ROUND(Z285*AJ$5/1200,2)</f>
        <v>0.0</v>
      </c>
      <c r="AK286" s="31">
        <f>ROUND(AA285*AK$5/1200,2)</f>
        <v>0.0</v>
      </c>
      <c r="AL286" s="31">
        <f>MIN(AL$5,R285+AB286)</f>
        <v>0.0</v>
      </c>
      <c r="AM286" s="31">
        <f>MIN(AM$5,S285+AC286)</f>
        <v>0.0</v>
      </c>
      <c r="AN286" s="31">
        <f>MIN(AN$5,T285+AD286)</f>
        <v>0.0</v>
      </c>
      <c r="AO286" s="31">
        <f>MIN(AO$5,U285+AE286)</f>
        <v>0.0</v>
      </c>
      <c r="AP286" s="31">
        <f>MIN(AP$5,V285+AF286)</f>
        <v>0.0</v>
      </c>
      <c r="AQ286" s="31">
        <f>MIN(AQ$5,W285+AG286)</f>
        <v>0.0</v>
      </c>
      <c r="AR286" s="31">
        <f>MIN(AR$5,X285+AH286)</f>
        <v>0.0</v>
      </c>
      <c r="AS286" s="31">
        <f>MIN(AS$5,Y285+AI286)</f>
        <v>0.0</v>
      </c>
      <c r="AT286" s="31">
        <f>MIN(AT$5,Z285+AJ286)</f>
        <v>0.0</v>
      </c>
      <c r="AU286" s="31">
        <f>MIN(AU$5,AA285+AK286)</f>
        <v>0.0</v>
      </c>
    </row>
    <row r="287">
      <c r="A287" s="25" t="str">
        <f>IF(F286&gt;0.005,282,"")</f>
        <v/>
      </c>
      <c r="B287" s="33" t="str">
        <f>IF(A287="","",EDATE(Долги!$D$5,281))</f>
        <v/>
      </c>
      <c r="C287" s="31">
        <f>SUM(H287:Q287)</f>
        <v>0.0</v>
      </c>
      <c r="D287" s="31">
        <f>SUM(AB287:AK287)</f>
        <v>0.0</v>
      </c>
      <c r="E287" s="31">
        <f>C287-D287</f>
        <v>0.0</v>
      </c>
      <c r="F287" s="31">
        <f>SUM(R287:AA287)</f>
        <v>0.0</v>
      </c>
      <c r="G287" s="34" t="str">
        <f>IF(OR(A287="",$F$5&lt;=0),"",REPT("█",ROUND(20*F287/$F$5,0)))</f>
        <v/>
      </c>
      <c r="H287" s="31">
        <f>AL287+MIN(R286+AB287-AL287,MAX(0,ROUND(Долги!$D$19-SUM($AL287:$AU287),2)))</f>
        <v>0.0</v>
      </c>
      <c r="I287" s="31">
        <f>AM287+MIN(S286+AC287-AM287,MAX(0,ROUND(ROUND(Долги!$D$19-SUM($AL287:$AU287),2)-(SUM($H287:H287)-SUM($AL287:AL287)),2)))</f>
        <v>0.0</v>
      </c>
      <c r="J287" s="31">
        <f>AN287+MIN(T286+AD287-AN287,MAX(0,ROUND(ROUND(Долги!$D$19-SUM($AL287:$AU287),2)-(SUM($H287:I287)-SUM($AL287:AM287)),2)))</f>
        <v>0.0</v>
      </c>
      <c r="K287" s="31">
        <f>AO287+MIN(U286+AE287-AO287,MAX(0,ROUND(ROUND(Долги!$D$19-SUM($AL287:$AU287),2)-(SUM($H287:J287)-SUM($AL287:AN287)),2)))</f>
        <v>0.0</v>
      </c>
      <c r="L287" s="31">
        <f>AP287+MIN(V286+AF287-AP287,MAX(0,ROUND(ROUND(Долги!$D$19-SUM($AL287:$AU287),2)-(SUM($H287:K287)-SUM($AL287:AO287)),2)))</f>
        <v>0.0</v>
      </c>
      <c r="M287" s="31">
        <f>AQ287+MIN(W286+AG287-AQ287,MAX(0,ROUND(ROUND(Долги!$D$19-SUM($AL287:$AU287),2)-(SUM($H287:L287)-SUM($AL287:AP287)),2)))</f>
        <v>0.0</v>
      </c>
      <c r="N287" s="31">
        <f>AR287+MIN(X286+AH287-AR287,MAX(0,ROUND(ROUND(Долги!$D$19-SUM($AL287:$AU287),2)-(SUM($H287:M287)-SUM($AL287:AQ287)),2)))</f>
        <v>0.0</v>
      </c>
      <c r="O287" s="31">
        <f>AS287+MIN(Y286+AI287-AS287,MAX(0,ROUND(ROUND(Долги!$D$19-SUM($AL287:$AU287),2)-(SUM($H287:N287)-SUM($AL287:AR287)),2)))</f>
        <v>0.0</v>
      </c>
      <c r="P287" s="31">
        <f>AT287+MIN(Z286+AJ287-AT287,MAX(0,ROUND(ROUND(Долги!$D$19-SUM($AL287:$AU287),2)-(SUM($H287:O287)-SUM($AL287:AS287)),2)))</f>
        <v>0.0</v>
      </c>
      <c r="Q287" s="31">
        <f>AU287+MIN(AA286+AK287-AU287,MAX(0,ROUND(ROUND(Долги!$D$19-SUM($AL287:$AU287),2)-(SUM($H287:P287)-SUM($AL287:AT287)),2)))</f>
        <v>0.0</v>
      </c>
      <c r="R287" s="31">
        <f>IF(R286+AB287-H287&lt;=0.01,0,ROUND(R286+AB287-H287,2))</f>
        <v>0.0</v>
      </c>
      <c r="S287" s="31">
        <f>IF(S286+AC287-I287&lt;=0.01,0,ROUND(S286+AC287-I287,2))</f>
        <v>0.0</v>
      </c>
      <c r="T287" s="31">
        <f>IF(T286+AD287-J287&lt;=0.01,0,ROUND(T286+AD287-J287,2))</f>
        <v>0.0</v>
      </c>
      <c r="U287" s="31">
        <f>IF(U286+AE287-K287&lt;=0.01,0,ROUND(U286+AE287-K287,2))</f>
        <v>0.0</v>
      </c>
      <c r="V287" s="31">
        <f>IF(V286+AF287-L287&lt;=0.01,0,ROUND(V286+AF287-L287,2))</f>
        <v>0.0</v>
      </c>
      <c r="W287" s="31">
        <f>IF(W286+AG287-M287&lt;=0.01,0,ROUND(W286+AG287-M287,2))</f>
        <v>0.0</v>
      </c>
      <c r="X287" s="31">
        <f>IF(X286+AH287-N287&lt;=0.01,0,ROUND(X286+AH287-N287,2))</f>
        <v>0.0</v>
      </c>
      <c r="Y287" s="31">
        <f>IF(Y286+AI287-O287&lt;=0.01,0,ROUND(Y286+AI287-O287,2))</f>
        <v>0.0</v>
      </c>
      <c r="Z287" s="31">
        <f>IF(Z286+AJ287-P287&lt;=0.01,0,ROUND(Z286+AJ287-P287,2))</f>
        <v>0.0</v>
      </c>
      <c r="AA287" s="31">
        <f>IF(AA286+AK287-Q287&lt;=0.01,0,ROUND(AA286+AK287-Q287,2))</f>
        <v>0.0</v>
      </c>
      <c r="AB287" s="31">
        <f>ROUND(R286*AB$5/1200,2)</f>
        <v>0.0</v>
      </c>
      <c r="AC287" s="31">
        <f>ROUND(S286*AC$5/1200,2)</f>
        <v>0.0</v>
      </c>
      <c r="AD287" s="31">
        <f>ROUND(T286*AD$5/1200,2)</f>
        <v>0.0</v>
      </c>
      <c r="AE287" s="31">
        <f>ROUND(U286*AE$5/1200,2)</f>
        <v>0.0</v>
      </c>
      <c r="AF287" s="31">
        <f>ROUND(V286*AF$5/1200,2)</f>
        <v>0.0</v>
      </c>
      <c r="AG287" s="31">
        <f>ROUND(W286*AG$5/1200,2)</f>
        <v>0.0</v>
      </c>
      <c r="AH287" s="31">
        <f>ROUND(X286*AH$5/1200,2)</f>
        <v>0.0</v>
      </c>
      <c r="AI287" s="31">
        <f>ROUND(Y286*AI$5/1200,2)</f>
        <v>0.0</v>
      </c>
      <c r="AJ287" s="31">
        <f>ROUND(Z286*AJ$5/1200,2)</f>
        <v>0.0</v>
      </c>
      <c r="AK287" s="31">
        <f>ROUND(AA286*AK$5/1200,2)</f>
        <v>0.0</v>
      </c>
      <c r="AL287" s="31">
        <f>MIN(AL$5,R286+AB287)</f>
        <v>0.0</v>
      </c>
      <c r="AM287" s="31">
        <f>MIN(AM$5,S286+AC287)</f>
        <v>0.0</v>
      </c>
      <c r="AN287" s="31">
        <f>MIN(AN$5,T286+AD287)</f>
        <v>0.0</v>
      </c>
      <c r="AO287" s="31">
        <f>MIN(AO$5,U286+AE287)</f>
        <v>0.0</v>
      </c>
      <c r="AP287" s="31">
        <f>MIN(AP$5,V286+AF287)</f>
        <v>0.0</v>
      </c>
      <c r="AQ287" s="31">
        <f>MIN(AQ$5,W286+AG287)</f>
        <v>0.0</v>
      </c>
      <c r="AR287" s="31">
        <f>MIN(AR$5,X286+AH287)</f>
        <v>0.0</v>
      </c>
      <c r="AS287" s="31">
        <f>MIN(AS$5,Y286+AI287)</f>
        <v>0.0</v>
      </c>
      <c r="AT287" s="31">
        <f>MIN(AT$5,Z286+AJ287)</f>
        <v>0.0</v>
      </c>
      <c r="AU287" s="31">
        <f>MIN(AU$5,AA286+AK287)</f>
        <v>0.0</v>
      </c>
    </row>
    <row r="288">
      <c r="A288" s="25" t="str">
        <f>IF(F287&gt;0.005,283,"")</f>
        <v/>
      </c>
      <c r="B288" s="33" t="str">
        <f>IF(A288="","",EDATE(Долги!$D$5,282))</f>
        <v/>
      </c>
      <c r="C288" s="31">
        <f>SUM(H288:Q288)</f>
        <v>0.0</v>
      </c>
      <c r="D288" s="31">
        <f>SUM(AB288:AK288)</f>
        <v>0.0</v>
      </c>
      <c r="E288" s="31">
        <f>C288-D288</f>
        <v>0.0</v>
      </c>
      <c r="F288" s="31">
        <f>SUM(R288:AA288)</f>
        <v>0.0</v>
      </c>
      <c r="G288" s="34" t="str">
        <f>IF(OR(A288="",$F$5&lt;=0),"",REPT("█",ROUND(20*F288/$F$5,0)))</f>
        <v/>
      </c>
      <c r="H288" s="31">
        <f>AL288+MIN(R287+AB288-AL288,MAX(0,ROUND(Долги!$D$19-SUM($AL288:$AU288),2)))</f>
        <v>0.0</v>
      </c>
      <c r="I288" s="31">
        <f>AM288+MIN(S287+AC288-AM288,MAX(0,ROUND(ROUND(Долги!$D$19-SUM($AL288:$AU288),2)-(SUM($H288:H288)-SUM($AL288:AL288)),2)))</f>
        <v>0.0</v>
      </c>
      <c r="J288" s="31">
        <f>AN288+MIN(T287+AD288-AN288,MAX(0,ROUND(ROUND(Долги!$D$19-SUM($AL288:$AU288),2)-(SUM($H288:I288)-SUM($AL288:AM288)),2)))</f>
        <v>0.0</v>
      </c>
      <c r="K288" s="31">
        <f>AO288+MIN(U287+AE288-AO288,MAX(0,ROUND(ROUND(Долги!$D$19-SUM($AL288:$AU288),2)-(SUM($H288:J288)-SUM($AL288:AN288)),2)))</f>
        <v>0.0</v>
      </c>
      <c r="L288" s="31">
        <f>AP288+MIN(V287+AF288-AP288,MAX(0,ROUND(ROUND(Долги!$D$19-SUM($AL288:$AU288),2)-(SUM($H288:K288)-SUM($AL288:AO288)),2)))</f>
        <v>0.0</v>
      </c>
      <c r="M288" s="31">
        <f>AQ288+MIN(W287+AG288-AQ288,MAX(0,ROUND(ROUND(Долги!$D$19-SUM($AL288:$AU288),2)-(SUM($H288:L288)-SUM($AL288:AP288)),2)))</f>
        <v>0.0</v>
      </c>
      <c r="N288" s="31">
        <f>AR288+MIN(X287+AH288-AR288,MAX(0,ROUND(ROUND(Долги!$D$19-SUM($AL288:$AU288),2)-(SUM($H288:M288)-SUM($AL288:AQ288)),2)))</f>
        <v>0.0</v>
      </c>
      <c r="O288" s="31">
        <f>AS288+MIN(Y287+AI288-AS288,MAX(0,ROUND(ROUND(Долги!$D$19-SUM($AL288:$AU288),2)-(SUM($H288:N288)-SUM($AL288:AR288)),2)))</f>
        <v>0.0</v>
      </c>
      <c r="P288" s="31">
        <f>AT288+MIN(Z287+AJ288-AT288,MAX(0,ROUND(ROUND(Долги!$D$19-SUM($AL288:$AU288),2)-(SUM($H288:O288)-SUM($AL288:AS288)),2)))</f>
        <v>0.0</v>
      </c>
      <c r="Q288" s="31">
        <f>AU288+MIN(AA287+AK288-AU288,MAX(0,ROUND(ROUND(Долги!$D$19-SUM($AL288:$AU288),2)-(SUM($H288:P288)-SUM($AL288:AT288)),2)))</f>
        <v>0.0</v>
      </c>
      <c r="R288" s="31">
        <f>IF(R287+AB288-H288&lt;=0.01,0,ROUND(R287+AB288-H288,2))</f>
        <v>0.0</v>
      </c>
      <c r="S288" s="31">
        <f>IF(S287+AC288-I288&lt;=0.01,0,ROUND(S287+AC288-I288,2))</f>
        <v>0.0</v>
      </c>
      <c r="T288" s="31">
        <f>IF(T287+AD288-J288&lt;=0.01,0,ROUND(T287+AD288-J288,2))</f>
        <v>0.0</v>
      </c>
      <c r="U288" s="31">
        <f>IF(U287+AE288-K288&lt;=0.01,0,ROUND(U287+AE288-K288,2))</f>
        <v>0.0</v>
      </c>
      <c r="V288" s="31">
        <f>IF(V287+AF288-L288&lt;=0.01,0,ROUND(V287+AF288-L288,2))</f>
        <v>0.0</v>
      </c>
      <c r="W288" s="31">
        <f>IF(W287+AG288-M288&lt;=0.01,0,ROUND(W287+AG288-M288,2))</f>
        <v>0.0</v>
      </c>
      <c r="X288" s="31">
        <f>IF(X287+AH288-N288&lt;=0.01,0,ROUND(X287+AH288-N288,2))</f>
        <v>0.0</v>
      </c>
      <c r="Y288" s="31">
        <f>IF(Y287+AI288-O288&lt;=0.01,0,ROUND(Y287+AI288-O288,2))</f>
        <v>0.0</v>
      </c>
      <c r="Z288" s="31">
        <f>IF(Z287+AJ288-P288&lt;=0.01,0,ROUND(Z287+AJ288-P288,2))</f>
        <v>0.0</v>
      </c>
      <c r="AA288" s="31">
        <f>IF(AA287+AK288-Q288&lt;=0.01,0,ROUND(AA287+AK288-Q288,2))</f>
        <v>0.0</v>
      </c>
      <c r="AB288" s="31">
        <f>ROUND(R287*AB$5/1200,2)</f>
        <v>0.0</v>
      </c>
      <c r="AC288" s="31">
        <f>ROUND(S287*AC$5/1200,2)</f>
        <v>0.0</v>
      </c>
      <c r="AD288" s="31">
        <f>ROUND(T287*AD$5/1200,2)</f>
        <v>0.0</v>
      </c>
      <c r="AE288" s="31">
        <f>ROUND(U287*AE$5/1200,2)</f>
        <v>0.0</v>
      </c>
      <c r="AF288" s="31">
        <f>ROUND(V287*AF$5/1200,2)</f>
        <v>0.0</v>
      </c>
      <c r="AG288" s="31">
        <f>ROUND(W287*AG$5/1200,2)</f>
        <v>0.0</v>
      </c>
      <c r="AH288" s="31">
        <f>ROUND(X287*AH$5/1200,2)</f>
        <v>0.0</v>
      </c>
      <c r="AI288" s="31">
        <f>ROUND(Y287*AI$5/1200,2)</f>
        <v>0.0</v>
      </c>
      <c r="AJ288" s="31">
        <f>ROUND(Z287*AJ$5/1200,2)</f>
        <v>0.0</v>
      </c>
      <c r="AK288" s="31">
        <f>ROUND(AA287*AK$5/1200,2)</f>
        <v>0.0</v>
      </c>
      <c r="AL288" s="31">
        <f>MIN(AL$5,R287+AB288)</f>
        <v>0.0</v>
      </c>
      <c r="AM288" s="31">
        <f>MIN(AM$5,S287+AC288)</f>
        <v>0.0</v>
      </c>
      <c r="AN288" s="31">
        <f>MIN(AN$5,T287+AD288)</f>
        <v>0.0</v>
      </c>
      <c r="AO288" s="31">
        <f>MIN(AO$5,U287+AE288)</f>
        <v>0.0</v>
      </c>
      <c r="AP288" s="31">
        <f>MIN(AP$5,V287+AF288)</f>
        <v>0.0</v>
      </c>
      <c r="AQ288" s="31">
        <f>MIN(AQ$5,W287+AG288)</f>
        <v>0.0</v>
      </c>
      <c r="AR288" s="31">
        <f>MIN(AR$5,X287+AH288)</f>
        <v>0.0</v>
      </c>
      <c r="AS288" s="31">
        <f>MIN(AS$5,Y287+AI288)</f>
        <v>0.0</v>
      </c>
      <c r="AT288" s="31">
        <f>MIN(AT$5,Z287+AJ288)</f>
        <v>0.0</v>
      </c>
      <c r="AU288" s="31">
        <f>MIN(AU$5,AA287+AK288)</f>
        <v>0.0</v>
      </c>
    </row>
    <row r="289">
      <c r="A289" s="25" t="str">
        <f>IF(F288&gt;0.005,284,"")</f>
        <v/>
      </c>
      <c r="B289" s="33" t="str">
        <f>IF(A289="","",EDATE(Долги!$D$5,283))</f>
        <v/>
      </c>
      <c r="C289" s="31">
        <f>SUM(H289:Q289)</f>
        <v>0.0</v>
      </c>
      <c r="D289" s="31">
        <f>SUM(AB289:AK289)</f>
        <v>0.0</v>
      </c>
      <c r="E289" s="31">
        <f>C289-D289</f>
        <v>0.0</v>
      </c>
      <c r="F289" s="31">
        <f>SUM(R289:AA289)</f>
        <v>0.0</v>
      </c>
      <c r="G289" s="34" t="str">
        <f>IF(OR(A289="",$F$5&lt;=0),"",REPT("█",ROUND(20*F289/$F$5,0)))</f>
        <v/>
      </c>
      <c r="H289" s="31">
        <f>AL289+MIN(R288+AB289-AL289,MAX(0,ROUND(Долги!$D$19-SUM($AL289:$AU289),2)))</f>
        <v>0.0</v>
      </c>
      <c r="I289" s="31">
        <f>AM289+MIN(S288+AC289-AM289,MAX(0,ROUND(ROUND(Долги!$D$19-SUM($AL289:$AU289),2)-(SUM($H289:H289)-SUM($AL289:AL289)),2)))</f>
        <v>0.0</v>
      </c>
      <c r="J289" s="31">
        <f>AN289+MIN(T288+AD289-AN289,MAX(0,ROUND(ROUND(Долги!$D$19-SUM($AL289:$AU289),2)-(SUM($H289:I289)-SUM($AL289:AM289)),2)))</f>
        <v>0.0</v>
      </c>
      <c r="K289" s="31">
        <f>AO289+MIN(U288+AE289-AO289,MAX(0,ROUND(ROUND(Долги!$D$19-SUM($AL289:$AU289),2)-(SUM($H289:J289)-SUM($AL289:AN289)),2)))</f>
        <v>0.0</v>
      </c>
      <c r="L289" s="31">
        <f>AP289+MIN(V288+AF289-AP289,MAX(0,ROUND(ROUND(Долги!$D$19-SUM($AL289:$AU289),2)-(SUM($H289:K289)-SUM($AL289:AO289)),2)))</f>
        <v>0.0</v>
      </c>
      <c r="M289" s="31">
        <f>AQ289+MIN(W288+AG289-AQ289,MAX(0,ROUND(ROUND(Долги!$D$19-SUM($AL289:$AU289),2)-(SUM($H289:L289)-SUM($AL289:AP289)),2)))</f>
        <v>0.0</v>
      </c>
      <c r="N289" s="31">
        <f>AR289+MIN(X288+AH289-AR289,MAX(0,ROUND(ROUND(Долги!$D$19-SUM($AL289:$AU289),2)-(SUM($H289:M289)-SUM($AL289:AQ289)),2)))</f>
        <v>0.0</v>
      </c>
      <c r="O289" s="31">
        <f>AS289+MIN(Y288+AI289-AS289,MAX(0,ROUND(ROUND(Долги!$D$19-SUM($AL289:$AU289),2)-(SUM($H289:N289)-SUM($AL289:AR289)),2)))</f>
        <v>0.0</v>
      </c>
      <c r="P289" s="31">
        <f>AT289+MIN(Z288+AJ289-AT289,MAX(0,ROUND(ROUND(Долги!$D$19-SUM($AL289:$AU289),2)-(SUM($H289:O289)-SUM($AL289:AS289)),2)))</f>
        <v>0.0</v>
      </c>
      <c r="Q289" s="31">
        <f>AU289+MIN(AA288+AK289-AU289,MAX(0,ROUND(ROUND(Долги!$D$19-SUM($AL289:$AU289),2)-(SUM($H289:P289)-SUM($AL289:AT289)),2)))</f>
        <v>0.0</v>
      </c>
      <c r="R289" s="31">
        <f>IF(R288+AB289-H289&lt;=0.01,0,ROUND(R288+AB289-H289,2))</f>
        <v>0.0</v>
      </c>
      <c r="S289" s="31">
        <f>IF(S288+AC289-I289&lt;=0.01,0,ROUND(S288+AC289-I289,2))</f>
        <v>0.0</v>
      </c>
      <c r="T289" s="31">
        <f>IF(T288+AD289-J289&lt;=0.01,0,ROUND(T288+AD289-J289,2))</f>
        <v>0.0</v>
      </c>
      <c r="U289" s="31">
        <f>IF(U288+AE289-K289&lt;=0.01,0,ROUND(U288+AE289-K289,2))</f>
        <v>0.0</v>
      </c>
      <c r="V289" s="31">
        <f>IF(V288+AF289-L289&lt;=0.01,0,ROUND(V288+AF289-L289,2))</f>
        <v>0.0</v>
      </c>
      <c r="W289" s="31">
        <f>IF(W288+AG289-M289&lt;=0.01,0,ROUND(W288+AG289-M289,2))</f>
        <v>0.0</v>
      </c>
      <c r="X289" s="31">
        <f>IF(X288+AH289-N289&lt;=0.01,0,ROUND(X288+AH289-N289,2))</f>
        <v>0.0</v>
      </c>
      <c r="Y289" s="31">
        <f>IF(Y288+AI289-O289&lt;=0.01,0,ROUND(Y288+AI289-O289,2))</f>
        <v>0.0</v>
      </c>
      <c r="Z289" s="31">
        <f>IF(Z288+AJ289-P289&lt;=0.01,0,ROUND(Z288+AJ289-P289,2))</f>
        <v>0.0</v>
      </c>
      <c r="AA289" s="31">
        <f>IF(AA288+AK289-Q289&lt;=0.01,0,ROUND(AA288+AK289-Q289,2))</f>
        <v>0.0</v>
      </c>
      <c r="AB289" s="31">
        <f>ROUND(R288*AB$5/1200,2)</f>
        <v>0.0</v>
      </c>
      <c r="AC289" s="31">
        <f>ROUND(S288*AC$5/1200,2)</f>
        <v>0.0</v>
      </c>
      <c r="AD289" s="31">
        <f>ROUND(T288*AD$5/1200,2)</f>
        <v>0.0</v>
      </c>
      <c r="AE289" s="31">
        <f>ROUND(U288*AE$5/1200,2)</f>
        <v>0.0</v>
      </c>
      <c r="AF289" s="31">
        <f>ROUND(V288*AF$5/1200,2)</f>
        <v>0.0</v>
      </c>
      <c r="AG289" s="31">
        <f>ROUND(W288*AG$5/1200,2)</f>
        <v>0.0</v>
      </c>
      <c r="AH289" s="31">
        <f>ROUND(X288*AH$5/1200,2)</f>
        <v>0.0</v>
      </c>
      <c r="AI289" s="31">
        <f>ROUND(Y288*AI$5/1200,2)</f>
        <v>0.0</v>
      </c>
      <c r="AJ289" s="31">
        <f>ROUND(Z288*AJ$5/1200,2)</f>
        <v>0.0</v>
      </c>
      <c r="AK289" s="31">
        <f>ROUND(AA288*AK$5/1200,2)</f>
        <v>0.0</v>
      </c>
      <c r="AL289" s="31">
        <f>MIN(AL$5,R288+AB289)</f>
        <v>0.0</v>
      </c>
      <c r="AM289" s="31">
        <f>MIN(AM$5,S288+AC289)</f>
        <v>0.0</v>
      </c>
      <c r="AN289" s="31">
        <f>MIN(AN$5,T288+AD289)</f>
        <v>0.0</v>
      </c>
      <c r="AO289" s="31">
        <f>MIN(AO$5,U288+AE289)</f>
        <v>0.0</v>
      </c>
      <c r="AP289" s="31">
        <f>MIN(AP$5,V288+AF289)</f>
        <v>0.0</v>
      </c>
      <c r="AQ289" s="31">
        <f>MIN(AQ$5,W288+AG289)</f>
        <v>0.0</v>
      </c>
      <c r="AR289" s="31">
        <f>MIN(AR$5,X288+AH289)</f>
        <v>0.0</v>
      </c>
      <c r="AS289" s="31">
        <f>MIN(AS$5,Y288+AI289)</f>
        <v>0.0</v>
      </c>
      <c r="AT289" s="31">
        <f>MIN(AT$5,Z288+AJ289)</f>
        <v>0.0</v>
      </c>
      <c r="AU289" s="31">
        <f>MIN(AU$5,AA288+AK289)</f>
        <v>0.0</v>
      </c>
    </row>
    <row r="290">
      <c r="A290" s="25" t="str">
        <f>IF(F289&gt;0.005,285,"")</f>
        <v/>
      </c>
      <c r="B290" s="33" t="str">
        <f>IF(A290="","",EDATE(Долги!$D$5,284))</f>
        <v/>
      </c>
      <c r="C290" s="31">
        <f>SUM(H290:Q290)</f>
        <v>0.0</v>
      </c>
      <c r="D290" s="31">
        <f>SUM(AB290:AK290)</f>
        <v>0.0</v>
      </c>
      <c r="E290" s="31">
        <f>C290-D290</f>
        <v>0.0</v>
      </c>
      <c r="F290" s="31">
        <f>SUM(R290:AA290)</f>
        <v>0.0</v>
      </c>
      <c r="G290" s="34" t="str">
        <f>IF(OR(A290="",$F$5&lt;=0),"",REPT("█",ROUND(20*F290/$F$5,0)))</f>
        <v/>
      </c>
      <c r="H290" s="31">
        <f>AL290+MIN(R289+AB290-AL290,MAX(0,ROUND(Долги!$D$19-SUM($AL290:$AU290),2)))</f>
        <v>0.0</v>
      </c>
      <c r="I290" s="31">
        <f>AM290+MIN(S289+AC290-AM290,MAX(0,ROUND(ROUND(Долги!$D$19-SUM($AL290:$AU290),2)-(SUM($H290:H290)-SUM($AL290:AL290)),2)))</f>
        <v>0.0</v>
      </c>
      <c r="J290" s="31">
        <f>AN290+MIN(T289+AD290-AN290,MAX(0,ROUND(ROUND(Долги!$D$19-SUM($AL290:$AU290),2)-(SUM($H290:I290)-SUM($AL290:AM290)),2)))</f>
        <v>0.0</v>
      </c>
      <c r="K290" s="31">
        <f>AO290+MIN(U289+AE290-AO290,MAX(0,ROUND(ROUND(Долги!$D$19-SUM($AL290:$AU290),2)-(SUM($H290:J290)-SUM($AL290:AN290)),2)))</f>
        <v>0.0</v>
      </c>
      <c r="L290" s="31">
        <f>AP290+MIN(V289+AF290-AP290,MAX(0,ROUND(ROUND(Долги!$D$19-SUM($AL290:$AU290),2)-(SUM($H290:K290)-SUM($AL290:AO290)),2)))</f>
        <v>0.0</v>
      </c>
      <c r="M290" s="31">
        <f>AQ290+MIN(W289+AG290-AQ290,MAX(0,ROUND(ROUND(Долги!$D$19-SUM($AL290:$AU290),2)-(SUM($H290:L290)-SUM($AL290:AP290)),2)))</f>
        <v>0.0</v>
      </c>
      <c r="N290" s="31">
        <f>AR290+MIN(X289+AH290-AR290,MAX(0,ROUND(ROUND(Долги!$D$19-SUM($AL290:$AU290),2)-(SUM($H290:M290)-SUM($AL290:AQ290)),2)))</f>
        <v>0.0</v>
      </c>
      <c r="O290" s="31">
        <f>AS290+MIN(Y289+AI290-AS290,MAX(0,ROUND(ROUND(Долги!$D$19-SUM($AL290:$AU290),2)-(SUM($H290:N290)-SUM($AL290:AR290)),2)))</f>
        <v>0.0</v>
      </c>
      <c r="P290" s="31">
        <f>AT290+MIN(Z289+AJ290-AT290,MAX(0,ROUND(ROUND(Долги!$D$19-SUM($AL290:$AU290),2)-(SUM($H290:O290)-SUM($AL290:AS290)),2)))</f>
        <v>0.0</v>
      </c>
      <c r="Q290" s="31">
        <f>AU290+MIN(AA289+AK290-AU290,MAX(0,ROUND(ROUND(Долги!$D$19-SUM($AL290:$AU290),2)-(SUM($H290:P290)-SUM($AL290:AT290)),2)))</f>
        <v>0.0</v>
      </c>
      <c r="R290" s="31">
        <f>IF(R289+AB290-H290&lt;=0.01,0,ROUND(R289+AB290-H290,2))</f>
        <v>0.0</v>
      </c>
      <c r="S290" s="31">
        <f>IF(S289+AC290-I290&lt;=0.01,0,ROUND(S289+AC290-I290,2))</f>
        <v>0.0</v>
      </c>
      <c r="T290" s="31">
        <f>IF(T289+AD290-J290&lt;=0.01,0,ROUND(T289+AD290-J290,2))</f>
        <v>0.0</v>
      </c>
      <c r="U290" s="31">
        <f>IF(U289+AE290-K290&lt;=0.01,0,ROUND(U289+AE290-K290,2))</f>
        <v>0.0</v>
      </c>
      <c r="V290" s="31">
        <f>IF(V289+AF290-L290&lt;=0.01,0,ROUND(V289+AF290-L290,2))</f>
        <v>0.0</v>
      </c>
      <c r="W290" s="31">
        <f>IF(W289+AG290-M290&lt;=0.01,0,ROUND(W289+AG290-M290,2))</f>
        <v>0.0</v>
      </c>
      <c r="X290" s="31">
        <f>IF(X289+AH290-N290&lt;=0.01,0,ROUND(X289+AH290-N290,2))</f>
        <v>0.0</v>
      </c>
      <c r="Y290" s="31">
        <f>IF(Y289+AI290-O290&lt;=0.01,0,ROUND(Y289+AI290-O290,2))</f>
        <v>0.0</v>
      </c>
      <c r="Z290" s="31">
        <f>IF(Z289+AJ290-P290&lt;=0.01,0,ROUND(Z289+AJ290-P290,2))</f>
        <v>0.0</v>
      </c>
      <c r="AA290" s="31">
        <f>IF(AA289+AK290-Q290&lt;=0.01,0,ROUND(AA289+AK290-Q290,2))</f>
        <v>0.0</v>
      </c>
      <c r="AB290" s="31">
        <f>ROUND(R289*AB$5/1200,2)</f>
        <v>0.0</v>
      </c>
      <c r="AC290" s="31">
        <f>ROUND(S289*AC$5/1200,2)</f>
        <v>0.0</v>
      </c>
      <c r="AD290" s="31">
        <f>ROUND(T289*AD$5/1200,2)</f>
        <v>0.0</v>
      </c>
      <c r="AE290" s="31">
        <f>ROUND(U289*AE$5/1200,2)</f>
        <v>0.0</v>
      </c>
      <c r="AF290" s="31">
        <f>ROUND(V289*AF$5/1200,2)</f>
        <v>0.0</v>
      </c>
      <c r="AG290" s="31">
        <f>ROUND(W289*AG$5/1200,2)</f>
        <v>0.0</v>
      </c>
      <c r="AH290" s="31">
        <f>ROUND(X289*AH$5/1200,2)</f>
        <v>0.0</v>
      </c>
      <c r="AI290" s="31">
        <f>ROUND(Y289*AI$5/1200,2)</f>
        <v>0.0</v>
      </c>
      <c r="AJ290" s="31">
        <f>ROUND(Z289*AJ$5/1200,2)</f>
        <v>0.0</v>
      </c>
      <c r="AK290" s="31">
        <f>ROUND(AA289*AK$5/1200,2)</f>
        <v>0.0</v>
      </c>
      <c r="AL290" s="31">
        <f>MIN(AL$5,R289+AB290)</f>
        <v>0.0</v>
      </c>
      <c r="AM290" s="31">
        <f>MIN(AM$5,S289+AC290)</f>
        <v>0.0</v>
      </c>
      <c r="AN290" s="31">
        <f>MIN(AN$5,T289+AD290)</f>
        <v>0.0</v>
      </c>
      <c r="AO290" s="31">
        <f>MIN(AO$5,U289+AE290)</f>
        <v>0.0</v>
      </c>
      <c r="AP290" s="31">
        <f>MIN(AP$5,V289+AF290)</f>
        <v>0.0</v>
      </c>
      <c r="AQ290" s="31">
        <f>MIN(AQ$5,W289+AG290)</f>
        <v>0.0</v>
      </c>
      <c r="AR290" s="31">
        <f>MIN(AR$5,X289+AH290)</f>
        <v>0.0</v>
      </c>
      <c r="AS290" s="31">
        <f>MIN(AS$5,Y289+AI290)</f>
        <v>0.0</v>
      </c>
      <c r="AT290" s="31">
        <f>MIN(AT$5,Z289+AJ290)</f>
        <v>0.0</v>
      </c>
      <c r="AU290" s="31">
        <f>MIN(AU$5,AA289+AK290)</f>
        <v>0.0</v>
      </c>
    </row>
    <row r="291">
      <c r="A291" s="25" t="str">
        <f>IF(F290&gt;0.005,286,"")</f>
        <v/>
      </c>
      <c r="B291" s="33" t="str">
        <f>IF(A291="","",EDATE(Долги!$D$5,285))</f>
        <v/>
      </c>
      <c r="C291" s="31">
        <f>SUM(H291:Q291)</f>
        <v>0.0</v>
      </c>
      <c r="D291" s="31">
        <f>SUM(AB291:AK291)</f>
        <v>0.0</v>
      </c>
      <c r="E291" s="31">
        <f>C291-D291</f>
        <v>0.0</v>
      </c>
      <c r="F291" s="31">
        <f>SUM(R291:AA291)</f>
        <v>0.0</v>
      </c>
      <c r="G291" s="34" t="str">
        <f>IF(OR(A291="",$F$5&lt;=0),"",REPT("█",ROUND(20*F291/$F$5,0)))</f>
        <v/>
      </c>
      <c r="H291" s="31">
        <f>AL291+MIN(R290+AB291-AL291,MAX(0,ROUND(Долги!$D$19-SUM($AL291:$AU291),2)))</f>
        <v>0.0</v>
      </c>
      <c r="I291" s="31">
        <f>AM291+MIN(S290+AC291-AM291,MAX(0,ROUND(ROUND(Долги!$D$19-SUM($AL291:$AU291),2)-(SUM($H291:H291)-SUM($AL291:AL291)),2)))</f>
        <v>0.0</v>
      </c>
      <c r="J291" s="31">
        <f>AN291+MIN(T290+AD291-AN291,MAX(0,ROUND(ROUND(Долги!$D$19-SUM($AL291:$AU291),2)-(SUM($H291:I291)-SUM($AL291:AM291)),2)))</f>
        <v>0.0</v>
      </c>
      <c r="K291" s="31">
        <f>AO291+MIN(U290+AE291-AO291,MAX(0,ROUND(ROUND(Долги!$D$19-SUM($AL291:$AU291),2)-(SUM($H291:J291)-SUM($AL291:AN291)),2)))</f>
        <v>0.0</v>
      </c>
      <c r="L291" s="31">
        <f>AP291+MIN(V290+AF291-AP291,MAX(0,ROUND(ROUND(Долги!$D$19-SUM($AL291:$AU291),2)-(SUM($H291:K291)-SUM($AL291:AO291)),2)))</f>
        <v>0.0</v>
      </c>
      <c r="M291" s="31">
        <f>AQ291+MIN(W290+AG291-AQ291,MAX(0,ROUND(ROUND(Долги!$D$19-SUM($AL291:$AU291),2)-(SUM($H291:L291)-SUM($AL291:AP291)),2)))</f>
        <v>0.0</v>
      </c>
      <c r="N291" s="31">
        <f>AR291+MIN(X290+AH291-AR291,MAX(0,ROUND(ROUND(Долги!$D$19-SUM($AL291:$AU291),2)-(SUM($H291:M291)-SUM($AL291:AQ291)),2)))</f>
        <v>0.0</v>
      </c>
      <c r="O291" s="31">
        <f>AS291+MIN(Y290+AI291-AS291,MAX(0,ROUND(ROUND(Долги!$D$19-SUM($AL291:$AU291),2)-(SUM($H291:N291)-SUM($AL291:AR291)),2)))</f>
        <v>0.0</v>
      </c>
      <c r="P291" s="31">
        <f>AT291+MIN(Z290+AJ291-AT291,MAX(0,ROUND(ROUND(Долги!$D$19-SUM($AL291:$AU291),2)-(SUM($H291:O291)-SUM($AL291:AS291)),2)))</f>
        <v>0.0</v>
      </c>
      <c r="Q291" s="31">
        <f>AU291+MIN(AA290+AK291-AU291,MAX(0,ROUND(ROUND(Долги!$D$19-SUM($AL291:$AU291),2)-(SUM($H291:P291)-SUM($AL291:AT291)),2)))</f>
        <v>0.0</v>
      </c>
      <c r="R291" s="31">
        <f>IF(R290+AB291-H291&lt;=0.01,0,ROUND(R290+AB291-H291,2))</f>
        <v>0.0</v>
      </c>
      <c r="S291" s="31">
        <f>IF(S290+AC291-I291&lt;=0.01,0,ROUND(S290+AC291-I291,2))</f>
        <v>0.0</v>
      </c>
      <c r="T291" s="31">
        <f>IF(T290+AD291-J291&lt;=0.01,0,ROUND(T290+AD291-J291,2))</f>
        <v>0.0</v>
      </c>
      <c r="U291" s="31">
        <f>IF(U290+AE291-K291&lt;=0.01,0,ROUND(U290+AE291-K291,2))</f>
        <v>0.0</v>
      </c>
      <c r="V291" s="31">
        <f>IF(V290+AF291-L291&lt;=0.01,0,ROUND(V290+AF291-L291,2))</f>
        <v>0.0</v>
      </c>
      <c r="W291" s="31">
        <f>IF(W290+AG291-M291&lt;=0.01,0,ROUND(W290+AG291-M291,2))</f>
        <v>0.0</v>
      </c>
      <c r="X291" s="31">
        <f>IF(X290+AH291-N291&lt;=0.01,0,ROUND(X290+AH291-N291,2))</f>
        <v>0.0</v>
      </c>
      <c r="Y291" s="31">
        <f>IF(Y290+AI291-O291&lt;=0.01,0,ROUND(Y290+AI291-O291,2))</f>
        <v>0.0</v>
      </c>
      <c r="Z291" s="31">
        <f>IF(Z290+AJ291-P291&lt;=0.01,0,ROUND(Z290+AJ291-P291,2))</f>
        <v>0.0</v>
      </c>
      <c r="AA291" s="31">
        <f>IF(AA290+AK291-Q291&lt;=0.01,0,ROUND(AA290+AK291-Q291,2))</f>
        <v>0.0</v>
      </c>
      <c r="AB291" s="31">
        <f>ROUND(R290*AB$5/1200,2)</f>
        <v>0.0</v>
      </c>
      <c r="AC291" s="31">
        <f>ROUND(S290*AC$5/1200,2)</f>
        <v>0.0</v>
      </c>
      <c r="AD291" s="31">
        <f>ROUND(T290*AD$5/1200,2)</f>
        <v>0.0</v>
      </c>
      <c r="AE291" s="31">
        <f>ROUND(U290*AE$5/1200,2)</f>
        <v>0.0</v>
      </c>
      <c r="AF291" s="31">
        <f>ROUND(V290*AF$5/1200,2)</f>
        <v>0.0</v>
      </c>
      <c r="AG291" s="31">
        <f>ROUND(W290*AG$5/1200,2)</f>
        <v>0.0</v>
      </c>
      <c r="AH291" s="31">
        <f>ROUND(X290*AH$5/1200,2)</f>
        <v>0.0</v>
      </c>
      <c r="AI291" s="31">
        <f>ROUND(Y290*AI$5/1200,2)</f>
        <v>0.0</v>
      </c>
      <c r="AJ291" s="31">
        <f>ROUND(Z290*AJ$5/1200,2)</f>
        <v>0.0</v>
      </c>
      <c r="AK291" s="31">
        <f>ROUND(AA290*AK$5/1200,2)</f>
        <v>0.0</v>
      </c>
      <c r="AL291" s="31">
        <f>MIN(AL$5,R290+AB291)</f>
        <v>0.0</v>
      </c>
      <c r="AM291" s="31">
        <f>MIN(AM$5,S290+AC291)</f>
        <v>0.0</v>
      </c>
      <c r="AN291" s="31">
        <f>MIN(AN$5,T290+AD291)</f>
        <v>0.0</v>
      </c>
      <c r="AO291" s="31">
        <f>MIN(AO$5,U290+AE291)</f>
        <v>0.0</v>
      </c>
      <c r="AP291" s="31">
        <f>MIN(AP$5,V290+AF291)</f>
        <v>0.0</v>
      </c>
      <c r="AQ291" s="31">
        <f>MIN(AQ$5,W290+AG291)</f>
        <v>0.0</v>
      </c>
      <c r="AR291" s="31">
        <f>MIN(AR$5,X290+AH291)</f>
        <v>0.0</v>
      </c>
      <c r="AS291" s="31">
        <f>MIN(AS$5,Y290+AI291)</f>
        <v>0.0</v>
      </c>
      <c r="AT291" s="31">
        <f>MIN(AT$5,Z290+AJ291)</f>
        <v>0.0</v>
      </c>
      <c r="AU291" s="31">
        <f>MIN(AU$5,AA290+AK291)</f>
        <v>0.0</v>
      </c>
    </row>
    <row r="292">
      <c r="A292" s="25" t="str">
        <f>IF(F291&gt;0.005,287,"")</f>
        <v/>
      </c>
      <c r="B292" s="33" t="str">
        <f>IF(A292="","",EDATE(Долги!$D$5,286))</f>
        <v/>
      </c>
      <c r="C292" s="31">
        <f>SUM(H292:Q292)</f>
        <v>0.0</v>
      </c>
      <c r="D292" s="31">
        <f>SUM(AB292:AK292)</f>
        <v>0.0</v>
      </c>
      <c r="E292" s="31">
        <f>C292-D292</f>
        <v>0.0</v>
      </c>
      <c r="F292" s="31">
        <f>SUM(R292:AA292)</f>
        <v>0.0</v>
      </c>
      <c r="G292" s="34" t="str">
        <f>IF(OR(A292="",$F$5&lt;=0),"",REPT("█",ROUND(20*F292/$F$5,0)))</f>
        <v/>
      </c>
      <c r="H292" s="31">
        <f>AL292+MIN(R291+AB292-AL292,MAX(0,ROUND(Долги!$D$19-SUM($AL292:$AU292),2)))</f>
        <v>0.0</v>
      </c>
      <c r="I292" s="31">
        <f>AM292+MIN(S291+AC292-AM292,MAX(0,ROUND(ROUND(Долги!$D$19-SUM($AL292:$AU292),2)-(SUM($H292:H292)-SUM($AL292:AL292)),2)))</f>
        <v>0.0</v>
      </c>
      <c r="J292" s="31">
        <f>AN292+MIN(T291+AD292-AN292,MAX(0,ROUND(ROUND(Долги!$D$19-SUM($AL292:$AU292),2)-(SUM($H292:I292)-SUM($AL292:AM292)),2)))</f>
        <v>0.0</v>
      </c>
      <c r="K292" s="31">
        <f>AO292+MIN(U291+AE292-AO292,MAX(0,ROUND(ROUND(Долги!$D$19-SUM($AL292:$AU292),2)-(SUM($H292:J292)-SUM($AL292:AN292)),2)))</f>
        <v>0.0</v>
      </c>
      <c r="L292" s="31">
        <f>AP292+MIN(V291+AF292-AP292,MAX(0,ROUND(ROUND(Долги!$D$19-SUM($AL292:$AU292),2)-(SUM($H292:K292)-SUM($AL292:AO292)),2)))</f>
        <v>0.0</v>
      </c>
      <c r="M292" s="31">
        <f>AQ292+MIN(W291+AG292-AQ292,MAX(0,ROUND(ROUND(Долги!$D$19-SUM($AL292:$AU292),2)-(SUM($H292:L292)-SUM($AL292:AP292)),2)))</f>
        <v>0.0</v>
      </c>
      <c r="N292" s="31">
        <f>AR292+MIN(X291+AH292-AR292,MAX(0,ROUND(ROUND(Долги!$D$19-SUM($AL292:$AU292),2)-(SUM($H292:M292)-SUM($AL292:AQ292)),2)))</f>
        <v>0.0</v>
      </c>
      <c r="O292" s="31">
        <f>AS292+MIN(Y291+AI292-AS292,MAX(0,ROUND(ROUND(Долги!$D$19-SUM($AL292:$AU292),2)-(SUM($H292:N292)-SUM($AL292:AR292)),2)))</f>
        <v>0.0</v>
      </c>
      <c r="P292" s="31">
        <f>AT292+MIN(Z291+AJ292-AT292,MAX(0,ROUND(ROUND(Долги!$D$19-SUM($AL292:$AU292),2)-(SUM($H292:O292)-SUM($AL292:AS292)),2)))</f>
        <v>0.0</v>
      </c>
      <c r="Q292" s="31">
        <f>AU292+MIN(AA291+AK292-AU292,MAX(0,ROUND(ROUND(Долги!$D$19-SUM($AL292:$AU292),2)-(SUM($H292:P292)-SUM($AL292:AT292)),2)))</f>
        <v>0.0</v>
      </c>
      <c r="R292" s="31">
        <f>IF(R291+AB292-H292&lt;=0.01,0,ROUND(R291+AB292-H292,2))</f>
        <v>0.0</v>
      </c>
      <c r="S292" s="31">
        <f>IF(S291+AC292-I292&lt;=0.01,0,ROUND(S291+AC292-I292,2))</f>
        <v>0.0</v>
      </c>
      <c r="T292" s="31">
        <f>IF(T291+AD292-J292&lt;=0.01,0,ROUND(T291+AD292-J292,2))</f>
        <v>0.0</v>
      </c>
      <c r="U292" s="31">
        <f>IF(U291+AE292-K292&lt;=0.01,0,ROUND(U291+AE292-K292,2))</f>
        <v>0.0</v>
      </c>
      <c r="V292" s="31">
        <f>IF(V291+AF292-L292&lt;=0.01,0,ROUND(V291+AF292-L292,2))</f>
        <v>0.0</v>
      </c>
      <c r="W292" s="31">
        <f>IF(W291+AG292-M292&lt;=0.01,0,ROUND(W291+AG292-M292,2))</f>
        <v>0.0</v>
      </c>
      <c r="X292" s="31">
        <f>IF(X291+AH292-N292&lt;=0.01,0,ROUND(X291+AH292-N292,2))</f>
        <v>0.0</v>
      </c>
      <c r="Y292" s="31">
        <f>IF(Y291+AI292-O292&lt;=0.01,0,ROUND(Y291+AI292-O292,2))</f>
        <v>0.0</v>
      </c>
      <c r="Z292" s="31">
        <f>IF(Z291+AJ292-P292&lt;=0.01,0,ROUND(Z291+AJ292-P292,2))</f>
        <v>0.0</v>
      </c>
      <c r="AA292" s="31">
        <f>IF(AA291+AK292-Q292&lt;=0.01,0,ROUND(AA291+AK292-Q292,2))</f>
        <v>0.0</v>
      </c>
      <c r="AB292" s="31">
        <f>ROUND(R291*AB$5/1200,2)</f>
        <v>0.0</v>
      </c>
      <c r="AC292" s="31">
        <f>ROUND(S291*AC$5/1200,2)</f>
        <v>0.0</v>
      </c>
      <c r="AD292" s="31">
        <f>ROUND(T291*AD$5/1200,2)</f>
        <v>0.0</v>
      </c>
      <c r="AE292" s="31">
        <f>ROUND(U291*AE$5/1200,2)</f>
        <v>0.0</v>
      </c>
      <c r="AF292" s="31">
        <f>ROUND(V291*AF$5/1200,2)</f>
        <v>0.0</v>
      </c>
      <c r="AG292" s="31">
        <f>ROUND(W291*AG$5/1200,2)</f>
        <v>0.0</v>
      </c>
      <c r="AH292" s="31">
        <f>ROUND(X291*AH$5/1200,2)</f>
        <v>0.0</v>
      </c>
      <c r="AI292" s="31">
        <f>ROUND(Y291*AI$5/1200,2)</f>
        <v>0.0</v>
      </c>
      <c r="AJ292" s="31">
        <f>ROUND(Z291*AJ$5/1200,2)</f>
        <v>0.0</v>
      </c>
      <c r="AK292" s="31">
        <f>ROUND(AA291*AK$5/1200,2)</f>
        <v>0.0</v>
      </c>
      <c r="AL292" s="31">
        <f>MIN(AL$5,R291+AB292)</f>
        <v>0.0</v>
      </c>
      <c r="AM292" s="31">
        <f>MIN(AM$5,S291+AC292)</f>
        <v>0.0</v>
      </c>
      <c r="AN292" s="31">
        <f>MIN(AN$5,T291+AD292)</f>
        <v>0.0</v>
      </c>
      <c r="AO292" s="31">
        <f>MIN(AO$5,U291+AE292)</f>
        <v>0.0</v>
      </c>
      <c r="AP292" s="31">
        <f>MIN(AP$5,V291+AF292)</f>
        <v>0.0</v>
      </c>
      <c r="AQ292" s="31">
        <f>MIN(AQ$5,W291+AG292)</f>
        <v>0.0</v>
      </c>
      <c r="AR292" s="31">
        <f>MIN(AR$5,X291+AH292)</f>
        <v>0.0</v>
      </c>
      <c r="AS292" s="31">
        <f>MIN(AS$5,Y291+AI292)</f>
        <v>0.0</v>
      </c>
      <c r="AT292" s="31">
        <f>MIN(AT$5,Z291+AJ292)</f>
        <v>0.0</v>
      </c>
      <c r="AU292" s="31">
        <f>MIN(AU$5,AA291+AK292)</f>
        <v>0.0</v>
      </c>
    </row>
    <row r="293">
      <c r="A293" s="25" t="str">
        <f>IF(F292&gt;0.005,288,"")</f>
        <v/>
      </c>
      <c r="B293" s="33" t="str">
        <f>IF(A293="","",EDATE(Долги!$D$5,287))</f>
        <v/>
      </c>
      <c r="C293" s="31">
        <f>SUM(H293:Q293)</f>
        <v>0.0</v>
      </c>
      <c r="D293" s="31">
        <f>SUM(AB293:AK293)</f>
        <v>0.0</v>
      </c>
      <c r="E293" s="31">
        <f>C293-D293</f>
        <v>0.0</v>
      </c>
      <c r="F293" s="31">
        <f>SUM(R293:AA293)</f>
        <v>0.0</v>
      </c>
      <c r="G293" s="34" t="str">
        <f>IF(OR(A293="",$F$5&lt;=0),"",REPT("█",ROUND(20*F293/$F$5,0)))</f>
        <v/>
      </c>
      <c r="H293" s="31">
        <f>AL293+MIN(R292+AB293-AL293,MAX(0,ROUND(Долги!$D$19-SUM($AL293:$AU293),2)))</f>
        <v>0.0</v>
      </c>
      <c r="I293" s="31">
        <f>AM293+MIN(S292+AC293-AM293,MAX(0,ROUND(ROUND(Долги!$D$19-SUM($AL293:$AU293),2)-(SUM($H293:H293)-SUM($AL293:AL293)),2)))</f>
        <v>0.0</v>
      </c>
      <c r="J293" s="31">
        <f>AN293+MIN(T292+AD293-AN293,MAX(0,ROUND(ROUND(Долги!$D$19-SUM($AL293:$AU293),2)-(SUM($H293:I293)-SUM($AL293:AM293)),2)))</f>
        <v>0.0</v>
      </c>
      <c r="K293" s="31">
        <f>AO293+MIN(U292+AE293-AO293,MAX(0,ROUND(ROUND(Долги!$D$19-SUM($AL293:$AU293),2)-(SUM($H293:J293)-SUM($AL293:AN293)),2)))</f>
        <v>0.0</v>
      </c>
      <c r="L293" s="31">
        <f>AP293+MIN(V292+AF293-AP293,MAX(0,ROUND(ROUND(Долги!$D$19-SUM($AL293:$AU293),2)-(SUM($H293:K293)-SUM($AL293:AO293)),2)))</f>
        <v>0.0</v>
      </c>
      <c r="M293" s="31">
        <f>AQ293+MIN(W292+AG293-AQ293,MAX(0,ROUND(ROUND(Долги!$D$19-SUM($AL293:$AU293),2)-(SUM($H293:L293)-SUM($AL293:AP293)),2)))</f>
        <v>0.0</v>
      </c>
      <c r="N293" s="31">
        <f>AR293+MIN(X292+AH293-AR293,MAX(0,ROUND(ROUND(Долги!$D$19-SUM($AL293:$AU293),2)-(SUM($H293:M293)-SUM($AL293:AQ293)),2)))</f>
        <v>0.0</v>
      </c>
      <c r="O293" s="31">
        <f>AS293+MIN(Y292+AI293-AS293,MAX(0,ROUND(ROUND(Долги!$D$19-SUM($AL293:$AU293),2)-(SUM($H293:N293)-SUM($AL293:AR293)),2)))</f>
        <v>0.0</v>
      </c>
      <c r="P293" s="31">
        <f>AT293+MIN(Z292+AJ293-AT293,MAX(0,ROUND(ROUND(Долги!$D$19-SUM($AL293:$AU293),2)-(SUM($H293:O293)-SUM($AL293:AS293)),2)))</f>
        <v>0.0</v>
      </c>
      <c r="Q293" s="31">
        <f>AU293+MIN(AA292+AK293-AU293,MAX(0,ROUND(ROUND(Долги!$D$19-SUM($AL293:$AU293),2)-(SUM($H293:P293)-SUM($AL293:AT293)),2)))</f>
        <v>0.0</v>
      </c>
      <c r="R293" s="31">
        <f>IF(R292+AB293-H293&lt;=0.01,0,ROUND(R292+AB293-H293,2))</f>
        <v>0.0</v>
      </c>
      <c r="S293" s="31">
        <f>IF(S292+AC293-I293&lt;=0.01,0,ROUND(S292+AC293-I293,2))</f>
        <v>0.0</v>
      </c>
      <c r="T293" s="31">
        <f>IF(T292+AD293-J293&lt;=0.01,0,ROUND(T292+AD293-J293,2))</f>
        <v>0.0</v>
      </c>
      <c r="U293" s="31">
        <f>IF(U292+AE293-K293&lt;=0.01,0,ROUND(U292+AE293-K293,2))</f>
        <v>0.0</v>
      </c>
      <c r="V293" s="31">
        <f>IF(V292+AF293-L293&lt;=0.01,0,ROUND(V292+AF293-L293,2))</f>
        <v>0.0</v>
      </c>
      <c r="W293" s="31">
        <f>IF(W292+AG293-M293&lt;=0.01,0,ROUND(W292+AG293-M293,2))</f>
        <v>0.0</v>
      </c>
      <c r="X293" s="31">
        <f>IF(X292+AH293-N293&lt;=0.01,0,ROUND(X292+AH293-N293,2))</f>
        <v>0.0</v>
      </c>
      <c r="Y293" s="31">
        <f>IF(Y292+AI293-O293&lt;=0.01,0,ROUND(Y292+AI293-O293,2))</f>
        <v>0.0</v>
      </c>
      <c r="Z293" s="31">
        <f>IF(Z292+AJ293-P293&lt;=0.01,0,ROUND(Z292+AJ293-P293,2))</f>
        <v>0.0</v>
      </c>
      <c r="AA293" s="31">
        <f>IF(AA292+AK293-Q293&lt;=0.01,0,ROUND(AA292+AK293-Q293,2))</f>
        <v>0.0</v>
      </c>
      <c r="AB293" s="31">
        <f>ROUND(R292*AB$5/1200,2)</f>
        <v>0.0</v>
      </c>
      <c r="AC293" s="31">
        <f>ROUND(S292*AC$5/1200,2)</f>
        <v>0.0</v>
      </c>
      <c r="AD293" s="31">
        <f>ROUND(T292*AD$5/1200,2)</f>
        <v>0.0</v>
      </c>
      <c r="AE293" s="31">
        <f>ROUND(U292*AE$5/1200,2)</f>
        <v>0.0</v>
      </c>
      <c r="AF293" s="31">
        <f>ROUND(V292*AF$5/1200,2)</f>
        <v>0.0</v>
      </c>
      <c r="AG293" s="31">
        <f>ROUND(W292*AG$5/1200,2)</f>
        <v>0.0</v>
      </c>
      <c r="AH293" s="31">
        <f>ROUND(X292*AH$5/1200,2)</f>
        <v>0.0</v>
      </c>
      <c r="AI293" s="31">
        <f>ROUND(Y292*AI$5/1200,2)</f>
        <v>0.0</v>
      </c>
      <c r="AJ293" s="31">
        <f>ROUND(Z292*AJ$5/1200,2)</f>
        <v>0.0</v>
      </c>
      <c r="AK293" s="31">
        <f>ROUND(AA292*AK$5/1200,2)</f>
        <v>0.0</v>
      </c>
      <c r="AL293" s="31">
        <f>MIN(AL$5,R292+AB293)</f>
        <v>0.0</v>
      </c>
      <c r="AM293" s="31">
        <f>MIN(AM$5,S292+AC293)</f>
        <v>0.0</v>
      </c>
      <c r="AN293" s="31">
        <f>MIN(AN$5,T292+AD293)</f>
        <v>0.0</v>
      </c>
      <c r="AO293" s="31">
        <f>MIN(AO$5,U292+AE293)</f>
        <v>0.0</v>
      </c>
      <c r="AP293" s="31">
        <f>MIN(AP$5,V292+AF293)</f>
        <v>0.0</v>
      </c>
      <c r="AQ293" s="31">
        <f>MIN(AQ$5,W292+AG293)</f>
        <v>0.0</v>
      </c>
      <c r="AR293" s="31">
        <f>MIN(AR$5,X292+AH293)</f>
        <v>0.0</v>
      </c>
      <c r="AS293" s="31">
        <f>MIN(AS$5,Y292+AI293)</f>
        <v>0.0</v>
      </c>
      <c r="AT293" s="31">
        <f>MIN(AT$5,Z292+AJ293)</f>
        <v>0.0</v>
      </c>
      <c r="AU293" s="31">
        <f>MIN(AU$5,AA292+AK293)</f>
        <v>0.0</v>
      </c>
    </row>
    <row r="294">
      <c r="A294" s="25" t="str">
        <f>IF(F293&gt;0.005,289,"")</f>
        <v/>
      </c>
      <c r="B294" s="33" t="str">
        <f>IF(A294="","",EDATE(Долги!$D$5,288))</f>
        <v/>
      </c>
      <c r="C294" s="31">
        <f>SUM(H294:Q294)</f>
        <v>0.0</v>
      </c>
      <c r="D294" s="31">
        <f>SUM(AB294:AK294)</f>
        <v>0.0</v>
      </c>
      <c r="E294" s="31">
        <f>C294-D294</f>
        <v>0.0</v>
      </c>
      <c r="F294" s="31">
        <f>SUM(R294:AA294)</f>
        <v>0.0</v>
      </c>
      <c r="G294" s="34" t="str">
        <f>IF(OR(A294="",$F$5&lt;=0),"",REPT("█",ROUND(20*F294/$F$5,0)))</f>
        <v/>
      </c>
      <c r="H294" s="31">
        <f>AL294+MIN(R293+AB294-AL294,MAX(0,ROUND(Долги!$D$19-SUM($AL294:$AU294),2)))</f>
        <v>0.0</v>
      </c>
      <c r="I294" s="31">
        <f>AM294+MIN(S293+AC294-AM294,MAX(0,ROUND(ROUND(Долги!$D$19-SUM($AL294:$AU294),2)-(SUM($H294:H294)-SUM($AL294:AL294)),2)))</f>
        <v>0.0</v>
      </c>
      <c r="J294" s="31">
        <f>AN294+MIN(T293+AD294-AN294,MAX(0,ROUND(ROUND(Долги!$D$19-SUM($AL294:$AU294),2)-(SUM($H294:I294)-SUM($AL294:AM294)),2)))</f>
        <v>0.0</v>
      </c>
      <c r="K294" s="31">
        <f>AO294+MIN(U293+AE294-AO294,MAX(0,ROUND(ROUND(Долги!$D$19-SUM($AL294:$AU294),2)-(SUM($H294:J294)-SUM($AL294:AN294)),2)))</f>
        <v>0.0</v>
      </c>
      <c r="L294" s="31">
        <f>AP294+MIN(V293+AF294-AP294,MAX(0,ROUND(ROUND(Долги!$D$19-SUM($AL294:$AU294),2)-(SUM($H294:K294)-SUM($AL294:AO294)),2)))</f>
        <v>0.0</v>
      </c>
      <c r="M294" s="31">
        <f>AQ294+MIN(W293+AG294-AQ294,MAX(0,ROUND(ROUND(Долги!$D$19-SUM($AL294:$AU294),2)-(SUM($H294:L294)-SUM($AL294:AP294)),2)))</f>
        <v>0.0</v>
      </c>
      <c r="N294" s="31">
        <f>AR294+MIN(X293+AH294-AR294,MAX(0,ROUND(ROUND(Долги!$D$19-SUM($AL294:$AU294),2)-(SUM($H294:M294)-SUM($AL294:AQ294)),2)))</f>
        <v>0.0</v>
      </c>
      <c r="O294" s="31">
        <f>AS294+MIN(Y293+AI294-AS294,MAX(0,ROUND(ROUND(Долги!$D$19-SUM($AL294:$AU294),2)-(SUM($H294:N294)-SUM($AL294:AR294)),2)))</f>
        <v>0.0</v>
      </c>
      <c r="P294" s="31">
        <f>AT294+MIN(Z293+AJ294-AT294,MAX(0,ROUND(ROUND(Долги!$D$19-SUM($AL294:$AU294),2)-(SUM($H294:O294)-SUM($AL294:AS294)),2)))</f>
        <v>0.0</v>
      </c>
      <c r="Q294" s="31">
        <f>AU294+MIN(AA293+AK294-AU294,MAX(0,ROUND(ROUND(Долги!$D$19-SUM($AL294:$AU294),2)-(SUM($H294:P294)-SUM($AL294:AT294)),2)))</f>
        <v>0.0</v>
      </c>
      <c r="R294" s="31">
        <f>IF(R293+AB294-H294&lt;=0.01,0,ROUND(R293+AB294-H294,2))</f>
        <v>0.0</v>
      </c>
      <c r="S294" s="31">
        <f>IF(S293+AC294-I294&lt;=0.01,0,ROUND(S293+AC294-I294,2))</f>
        <v>0.0</v>
      </c>
      <c r="T294" s="31">
        <f>IF(T293+AD294-J294&lt;=0.01,0,ROUND(T293+AD294-J294,2))</f>
        <v>0.0</v>
      </c>
      <c r="U294" s="31">
        <f>IF(U293+AE294-K294&lt;=0.01,0,ROUND(U293+AE294-K294,2))</f>
        <v>0.0</v>
      </c>
      <c r="V294" s="31">
        <f>IF(V293+AF294-L294&lt;=0.01,0,ROUND(V293+AF294-L294,2))</f>
        <v>0.0</v>
      </c>
      <c r="W294" s="31">
        <f>IF(W293+AG294-M294&lt;=0.01,0,ROUND(W293+AG294-M294,2))</f>
        <v>0.0</v>
      </c>
      <c r="X294" s="31">
        <f>IF(X293+AH294-N294&lt;=0.01,0,ROUND(X293+AH294-N294,2))</f>
        <v>0.0</v>
      </c>
      <c r="Y294" s="31">
        <f>IF(Y293+AI294-O294&lt;=0.01,0,ROUND(Y293+AI294-O294,2))</f>
        <v>0.0</v>
      </c>
      <c r="Z294" s="31">
        <f>IF(Z293+AJ294-P294&lt;=0.01,0,ROUND(Z293+AJ294-P294,2))</f>
        <v>0.0</v>
      </c>
      <c r="AA294" s="31">
        <f>IF(AA293+AK294-Q294&lt;=0.01,0,ROUND(AA293+AK294-Q294,2))</f>
        <v>0.0</v>
      </c>
      <c r="AB294" s="31">
        <f>ROUND(R293*AB$5/1200,2)</f>
        <v>0.0</v>
      </c>
      <c r="AC294" s="31">
        <f>ROUND(S293*AC$5/1200,2)</f>
        <v>0.0</v>
      </c>
      <c r="AD294" s="31">
        <f>ROUND(T293*AD$5/1200,2)</f>
        <v>0.0</v>
      </c>
      <c r="AE294" s="31">
        <f>ROUND(U293*AE$5/1200,2)</f>
        <v>0.0</v>
      </c>
      <c r="AF294" s="31">
        <f>ROUND(V293*AF$5/1200,2)</f>
        <v>0.0</v>
      </c>
      <c r="AG294" s="31">
        <f>ROUND(W293*AG$5/1200,2)</f>
        <v>0.0</v>
      </c>
      <c r="AH294" s="31">
        <f>ROUND(X293*AH$5/1200,2)</f>
        <v>0.0</v>
      </c>
      <c r="AI294" s="31">
        <f>ROUND(Y293*AI$5/1200,2)</f>
        <v>0.0</v>
      </c>
      <c r="AJ294" s="31">
        <f>ROUND(Z293*AJ$5/1200,2)</f>
        <v>0.0</v>
      </c>
      <c r="AK294" s="31">
        <f>ROUND(AA293*AK$5/1200,2)</f>
        <v>0.0</v>
      </c>
      <c r="AL294" s="31">
        <f>MIN(AL$5,R293+AB294)</f>
        <v>0.0</v>
      </c>
      <c r="AM294" s="31">
        <f>MIN(AM$5,S293+AC294)</f>
        <v>0.0</v>
      </c>
      <c r="AN294" s="31">
        <f>MIN(AN$5,T293+AD294)</f>
        <v>0.0</v>
      </c>
      <c r="AO294" s="31">
        <f>MIN(AO$5,U293+AE294)</f>
        <v>0.0</v>
      </c>
      <c r="AP294" s="31">
        <f>MIN(AP$5,V293+AF294)</f>
        <v>0.0</v>
      </c>
      <c r="AQ294" s="31">
        <f>MIN(AQ$5,W293+AG294)</f>
        <v>0.0</v>
      </c>
      <c r="AR294" s="31">
        <f>MIN(AR$5,X293+AH294)</f>
        <v>0.0</v>
      </c>
      <c r="AS294" s="31">
        <f>MIN(AS$5,Y293+AI294)</f>
        <v>0.0</v>
      </c>
      <c r="AT294" s="31">
        <f>MIN(AT$5,Z293+AJ294)</f>
        <v>0.0</v>
      </c>
      <c r="AU294" s="31">
        <f>MIN(AU$5,AA293+AK294)</f>
        <v>0.0</v>
      </c>
    </row>
    <row r="295">
      <c r="A295" s="25" t="str">
        <f>IF(F294&gt;0.005,290,"")</f>
        <v/>
      </c>
      <c r="B295" s="33" t="str">
        <f>IF(A295="","",EDATE(Долги!$D$5,289))</f>
        <v/>
      </c>
      <c r="C295" s="31">
        <f>SUM(H295:Q295)</f>
        <v>0.0</v>
      </c>
      <c r="D295" s="31">
        <f>SUM(AB295:AK295)</f>
        <v>0.0</v>
      </c>
      <c r="E295" s="31">
        <f>C295-D295</f>
        <v>0.0</v>
      </c>
      <c r="F295" s="31">
        <f>SUM(R295:AA295)</f>
        <v>0.0</v>
      </c>
      <c r="G295" s="34" t="str">
        <f>IF(OR(A295="",$F$5&lt;=0),"",REPT("█",ROUND(20*F295/$F$5,0)))</f>
        <v/>
      </c>
      <c r="H295" s="31">
        <f>AL295+MIN(R294+AB295-AL295,MAX(0,ROUND(Долги!$D$19-SUM($AL295:$AU295),2)))</f>
        <v>0.0</v>
      </c>
      <c r="I295" s="31">
        <f>AM295+MIN(S294+AC295-AM295,MAX(0,ROUND(ROUND(Долги!$D$19-SUM($AL295:$AU295),2)-(SUM($H295:H295)-SUM($AL295:AL295)),2)))</f>
        <v>0.0</v>
      </c>
      <c r="J295" s="31">
        <f>AN295+MIN(T294+AD295-AN295,MAX(0,ROUND(ROUND(Долги!$D$19-SUM($AL295:$AU295),2)-(SUM($H295:I295)-SUM($AL295:AM295)),2)))</f>
        <v>0.0</v>
      </c>
      <c r="K295" s="31">
        <f>AO295+MIN(U294+AE295-AO295,MAX(0,ROUND(ROUND(Долги!$D$19-SUM($AL295:$AU295),2)-(SUM($H295:J295)-SUM($AL295:AN295)),2)))</f>
        <v>0.0</v>
      </c>
      <c r="L295" s="31">
        <f>AP295+MIN(V294+AF295-AP295,MAX(0,ROUND(ROUND(Долги!$D$19-SUM($AL295:$AU295),2)-(SUM($H295:K295)-SUM($AL295:AO295)),2)))</f>
        <v>0.0</v>
      </c>
      <c r="M295" s="31">
        <f>AQ295+MIN(W294+AG295-AQ295,MAX(0,ROUND(ROUND(Долги!$D$19-SUM($AL295:$AU295),2)-(SUM($H295:L295)-SUM($AL295:AP295)),2)))</f>
        <v>0.0</v>
      </c>
      <c r="N295" s="31">
        <f>AR295+MIN(X294+AH295-AR295,MAX(0,ROUND(ROUND(Долги!$D$19-SUM($AL295:$AU295),2)-(SUM($H295:M295)-SUM($AL295:AQ295)),2)))</f>
        <v>0.0</v>
      </c>
      <c r="O295" s="31">
        <f>AS295+MIN(Y294+AI295-AS295,MAX(0,ROUND(ROUND(Долги!$D$19-SUM($AL295:$AU295),2)-(SUM($H295:N295)-SUM($AL295:AR295)),2)))</f>
        <v>0.0</v>
      </c>
      <c r="P295" s="31">
        <f>AT295+MIN(Z294+AJ295-AT295,MAX(0,ROUND(ROUND(Долги!$D$19-SUM($AL295:$AU295),2)-(SUM($H295:O295)-SUM($AL295:AS295)),2)))</f>
        <v>0.0</v>
      </c>
      <c r="Q295" s="31">
        <f>AU295+MIN(AA294+AK295-AU295,MAX(0,ROUND(ROUND(Долги!$D$19-SUM($AL295:$AU295),2)-(SUM($H295:P295)-SUM($AL295:AT295)),2)))</f>
        <v>0.0</v>
      </c>
      <c r="R295" s="31">
        <f>IF(R294+AB295-H295&lt;=0.01,0,ROUND(R294+AB295-H295,2))</f>
        <v>0.0</v>
      </c>
      <c r="S295" s="31">
        <f>IF(S294+AC295-I295&lt;=0.01,0,ROUND(S294+AC295-I295,2))</f>
        <v>0.0</v>
      </c>
      <c r="T295" s="31">
        <f>IF(T294+AD295-J295&lt;=0.01,0,ROUND(T294+AD295-J295,2))</f>
        <v>0.0</v>
      </c>
      <c r="U295" s="31">
        <f>IF(U294+AE295-K295&lt;=0.01,0,ROUND(U294+AE295-K295,2))</f>
        <v>0.0</v>
      </c>
      <c r="V295" s="31">
        <f>IF(V294+AF295-L295&lt;=0.01,0,ROUND(V294+AF295-L295,2))</f>
        <v>0.0</v>
      </c>
      <c r="W295" s="31">
        <f>IF(W294+AG295-M295&lt;=0.01,0,ROUND(W294+AG295-M295,2))</f>
        <v>0.0</v>
      </c>
      <c r="X295" s="31">
        <f>IF(X294+AH295-N295&lt;=0.01,0,ROUND(X294+AH295-N295,2))</f>
        <v>0.0</v>
      </c>
      <c r="Y295" s="31">
        <f>IF(Y294+AI295-O295&lt;=0.01,0,ROUND(Y294+AI295-O295,2))</f>
        <v>0.0</v>
      </c>
      <c r="Z295" s="31">
        <f>IF(Z294+AJ295-P295&lt;=0.01,0,ROUND(Z294+AJ295-P295,2))</f>
        <v>0.0</v>
      </c>
      <c r="AA295" s="31">
        <f>IF(AA294+AK295-Q295&lt;=0.01,0,ROUND(AA294+AK295-Q295,2))</f>
        <v>0.0</v>
      </c>
      <c r="AB295" s="31">
        <f>ROUND(R294*AB$5/1200,2)</f>
        <v>0.0</v>
      </c>
      <c r="AC295" s="31">
        <f>ROUND(S294*AC$5/1200,2)</f>
        <v>0.0</v>
      </c>
      <c r="AD295" s="31">
        <f>ROUND(T294*AD$5/1200,2)</f>
        <v>0.0</v>
      </c>
      <c r="AE295" s="31">
        <f>ROUND(U294*AE$5/1200,2)</f>
        <v>0.0</v>
      </c>
      <c r="AF295" s="31">
        <f>ROUND(V294*AF$5/1200,2)</f>
        <v>0.0</v>
      </c>
      <c r="AG295" s="31">
        <f>ROUND(W294*AG$5/1200,2)</f>
        <v>0.0</v>
      </c>
      <c r="AH295" s="31">
        <f>ROUND(X294*AH$5/1200,2)</f>
        <v>0.0</v>
      </c>
      <c r="AI295" s="31">
        <f>ROUND(Y294*AI$5/1200,2)</f>
        <v>0.0</v>
      </c>
      <c r="AJ295" s="31">
        <f>ROUND(Z294*AJ$5/1200,2)</f>
        <v>0.0</v>
      </c>
      <c r="AK295" s="31">
        <f>ROUND(AA294*AK$5/1200,2)</f>
        <v>0.0</v>
      </c>
      <c r="AL295" s="31">
        <f>MIN(AL$5,R294+AB295)</f>
        <v>0.0</v>
      </c>
      <c r="AM295" s="31">
        <f>MIN(AM$5,S294+AC295)</f>
        <v>0.0</v>
      </c>
      <c r="AN295" s="31">
        <f>MIN(AN$5,T294+AD295)</f>
        <v>0.0</v>
      </c>
      <c r="AO295" s="31">
        <f>MIN(AO$5,U294+AE295)</f>
        <v>0.0</v>
      </c>
      <c r="AP295" s="31">
        <f>MIN(AP$5,V294+AF295)</f>
        <v>0.0</v>
      </c>
      <c r="AQ295" s="31">
        <f>MIN(AQ$5,W294+AG295)</f>
        <v>0.0</v>
      </c>
      <c r="AR295" s="31">
        <f>MIN(AR$5,X294+AH295)</f>
        <v>0.0</v>
      </c>
      <c r="AS295" s="31">
        <f>MIN(AS$5,Y294+AI295)</f>
        <v>0.0</v>
      </c>
      <c r="AT295" s="31">
        <f>MIN(AT$5,Z294+AJ295)</f>
        <v>0.0</v>
      </c>
      <c r="AU295" s="31">
        <f>MIN(AU$5,AA294+AK295)</f>
        <v>0.0</v>
      </c>
    </row>
    <row r="296">
      <c r="A296" s="25" t="str">
        <f>IF(F295&gt;0.005,291,"")</f>
        <v/>
      </c>
      <c r="B296" s="33" t="str">
        <f>IF(A296="","",EDATE(Долги!$D$5,290))</f>
        <v/>
      </c>
      <c r="C296" s="31">
        <f>SUM(H296:Q296)</f>
        <v>0.0</v>
      </c>
      <c r="D296" s="31">
        <f>SUM(AB296:AK296)</f>
        <v>0.0</v>
      </c>
      <c r="E296" s="31">
        <f>C296-D296</f>
        <v>0.0</v>
      </c>
      <c r="F296" s="31">
        <f>SUM(R296:AA296)</f>
        <v>0.0</v>
      </c>
      <c r="G296" s="34" t="str">
        <f>IF(OR(A296="",$F$5&lt;=0),"",REPT("█",ROUND(20*F296/$F$5,0)))</f>
        <v/>
      </c>
      <c r="H296" s="31">
        <f>AL296+MIN(R295+AB296-AL296,MAX(0,ROUND(Долги!$D$19-SUM($AL296:$AU296),2)))</f>
        <v>0.0</v>
      </c>
      <c r="I296" s="31">
        <f>AM296+MIN(S295+AC296-AM296,MAX(0,ROUND(ROUND(Долги!$D$19-SUM($AL296:$AU296),2)-(SUM($H296:H296)-SUM($AL296:AL296)),2)))</f>
        <v>0.0</v>
      </c>
      <c r="J296" s="31">
        <f>AN296+MIN(T295+AD296-AN296,MAX(0,ROUND(ROUND(Долги!$D$19-SUM($AL296:$AU296),2)-(SUM($H296:I296)-SUM($AL296:AM296)),2)))</f>
        <v>0.0</v>
      </c>
      <c r="K296" s="31">
        <f>AO296+MIN(U295+AE296-AO296,MAX(0,ROUND(ROUND(Долги!$D$19-SUM($AL296:$AU296),2)-(SUM($H296:J296)-SUM($AL296:AN296)),2)))</f>
        <v>0.0</v>
      </c>
      <c r="L296" s="31">
        <f>AP296+MIN(V295+AF296-AP296,MAX(0,ROUND(ROUND(Долги!$D$19-SUM($AL296:$AU296),2)-(SUM($H296:K296)-SUM($AL296:AO296)),2)))</f>
        <v>0.0</v>
      </c>
      <c r="M296" s="31">
        <f>AQ296+MIN(W295+AG296-AQ296,MAX(0,ROUND(ROUND(Долги!$D$19-SUM($AL296:$AU296),2)-(SUM($H296:L296)-SUM($AL296:AP296)),2)))</f>
        <v>0.0</v>
      </c>
      <c r="N296" s="31">
        <f>AR296+MIN(X295+AH296-AR296,MAX(0,ROUND(ROUND(Долги!$D$19-SUM($AL296:$AU296),2)-(SUM($H296:M296)-SUM($AL296:AQ296)),2)))</f>
        <v>0.0</v>
      </c>
      <c r="O296" s="31">
        <f>AS296+MIN(Y295+AI296-AS296,MAX(0,ROUND(ROUND(Долги!$D$19-SUM($AL296:$AU296),2)-(SUM($H296:N296)-SUM($AL296:AR296)),2)))</f>
        <v>0.0</v>
      </c>
      <c r="P296" s="31">
        <f>AT296+MIN(Z295+AJ296-AT296,MAX(0,ROUND(ROUND(Долги!$D$19-SUM($AL296:$AU296),2)-(SUM($H296:O296)-SUM($AL296:AS296)),2)))</f>
        <v>0.0</v>
      </c>
      <c r="Q296" s="31">
        <f>AU296+MIN(AA295+AK296-AU296,MAX(0,ROUND(ROUND(Долги!$D$19-SUM($AL296:$AU296),2)-(SUM($H296:P296)-SUM($AL296:AT296)),2)))</f>
        <v>0.0</v>
      </c>
      <c r="R296" s="31">
        <f>IF(R295+AB296-H296&lt;=0.01,0,ROUND(R295+AB296-H296,2))</f>
        <v>0.0</v>
      </c>
      <c r="S296" s="31">
        <f>IF(S295+AC296-I296&lt;=0.01,0,ROUND(S295+AC296-I296,2))</f>
        <v>0.0</v>
      </c>
      <c r="T296" s="31">
        <f>IF(T295+AD296-J296&lt;=0.01,0,ROUND(T295+AD296-J296,2))</f>
        <v>0.0</v>
      </c>
      <c r="U296" s="31">
        <f>IF(U295+AE296-K296&lt;=0.01,0,ROUND(U295+AE296-K296,2))</f>
        <v>0.0</v>
      </c>
      <c r="V296" s="31">
        <f>IF(V295+AF296-L296&lt;=0.01,0,ROUND(V295+AF296-L296,2))</f>
        <v>0.0</v>
      </c>
      <c r="W296" s="31">
        <f>IF(W295+AG296-M296&lt;=0.01,0,ROUND(W295+AG296-M296,2))</f>
        <v>0.0</v>
      </c>
      <c r="X296" s="31">
        <f>IF(X295+AH296-N296&lt;=0.01,0,ROUND(X295+AH296-N296,2))</f>
        <v>0.0</v>
      </c>
      <c r="Y296" s="31">
        <f>IF(Y295+AI296-O296&lt;=0.01,0,ROUND(Y295+AI296-O296,2))</f>
        <v>0.0</v>
      </c>
      <c r="Z296" s="31">
        <f>IF(Z295+AJ296-P296&lt;=0.01,0,ROUND(Z295+AJ296-P296,2))</f>
        <v>0.0</v>
      </c>
      <c r="AA296" s="31">
        <f>IF(AA295+AK296-Q296&lt;=0.01,0,ROUND(AA295+AK296-Q296,2))</f>
        <v>0.0</v>
      </c>
      <c r="AB296" s="31">
        <f>ROUND(R295*AB$5/1200,2)</f>
        <v>0.0</v>
      </c>
      <c r="AC296" s="31">
        <f>ROUND(S295*AC$5/1200,2)</f>
        <v>0.0</v>
      </c>
      <c r="AD296" s="31">
        <f>ROUND(T295*AD$5/1200,2)</f>
        <v>0.0</v>
      </c>
      <c r="AE296" s="31">
        <f>ROUND(U295*AE$5/1200,2)</f>
        <v>0.0</v>
      </c>
      <c r="AF296" s="31">
        <f>ROUND(V295*AF$5/1200,2)</f>
        <v>0.0</v>
      </c>
      <c r="AG296" s="31">
        <f>ROUND(W295*AG$5/1200,2)</f>
        <v>0.0</v>
      </c>
      <c r="AH296" s="31">
        <f>ROUND(X295*AH$5/1200,2)</f>
        <v>0.0</v>
      </c>
      <c r="AI296" s="31">
        <f>ROUND(Y295*AI$5/1200,2)</f>
        <v>0.0</v>
      </c>
      <c r="AJ296" s="31">
        <f>ROUND(Z295*AJ$5/1200,2)</f>
        <v>0.0</v>
      </c>
      <c r="AK296" s="31">
        <f>ROUND(AA295*AK$5/1200,2)</f>
        <v>0.0</v>
      </c>
      <c r="AL296" s="31">
        <f>MIN(AL$5,R295+AB296)</f>
        <v>0.0</v>
      </c>
      <c r="AM296" s="31">
        <f>MIN(AM$5,S295+AC296)</f>
        <v>0.0</v>
      </c>
      <c r="AN296" s="31">
        <f>MIN(AN$5,T295+AD296)</f>
        <v>0.0</v>
      </c>
      <c r="AO296" s="31">
        <f>MIN(AO$5,U295+AE296)</f>
        <v>0.0</v>
      </c>
      <c r="AP296" s="31">
        <f>MIN(AP$5,V295+AF296)</f>
        <v>0.0</v>
      </c>
      <c r="AQ296" s="31">
        <f>MIN(AQ$5,W295+AG296)</f>
        <v>0.0</v>
      </c>
      <c r="AR296" s="31">
        <f>MIN(AR$5,X295+AH296)</f>
        <v>0.0</v>
      </c>
      <c r="AS296" s="31">
        <f>MIN(AS$5,Y295+AI296)</f>
        <v>0.0</v>
      </c>
      <c r="AT296" s="31">
        <f>MIN(AT$5,Z295+AJ296)</f>
        <v>0.0</v>
      </c>
      <c r="AU296" s="31">
        <f>MIN(AU$5,AA295+AK296)</f>
        <v>0.0</v>
      </c>
    </row>
    <row r="297">
      <c r="A297" s="25" t="str">
        <f>IF(F296&gt;0.005,292,"")</f>
        <v/>
      </c>
      <c r="B297" s="33" t="str">
        <f>IF(A297="","",EDATE(Долги!$D$5,291))</f>
        <v/>
      </c>
      <c r="C297" s="31">
        <f>SUM(H297:Q297)</f>
        <v>0.0</v>
      </c>
      <c r="D297" s="31">
        <f>SUM(AB297:AK297)</f>
        <v>0.0</v>
      </c>
      <c r="E297" s="31">
        <f>C297-D297</f>
        <v>0.0</v>
      </c>
      <c r="F297" s="31">
        <f>SUM(R297:AA297)</f>
        <v>0.0</v>
      </c>
      <c r="G297" s="34" t="str">
        <f>IF(OR(A297="",$F$5&lt;=0),"",REPT("█",ROUND(20*F297/$F$5,0)))</f>
        <v/>
      </c>
      <c r="H297" s="31">
        <f>AL297+MIN(R296+AB297-AL297,MAX(0,ROUND(Долги!$D$19-SUM($AL297:$AU297),2)))</f>
        <v>0.0</v>
      </c>
      <c r="I297" s="31">
        <f>AM297+MIN(S296+AC297-AM297,MAX(0,ROUND(ROUND(Долги!$D$19-SUM($AL297:$AU297),2)-(SUM($H297:H297)-SUM($AL297:AL297)),2)))</f>
        <v>0.0</v>
      </c>
      <c r="J297" s="31">
        <f>AN297+MIN(T296+AD297-AN297,MAX(0,ROUND(ROUND(Долги!$D$19-SUM($AL297:$AU297),2)-(SUM($H297:I297)-SUM($AL297:AM297)),2)))</f>
        <v>0.0</v>
      </c>
      <c r="K297" s="31">
        <f>AO297+MIN(U296+AE297-AO297,MAX(0,ROUND(ROUND(Долги!$D$19-SUM($AL297:$AU297),2)-(SUM($H297:J297)-SUM($AL297:AN297)),2)))</f>
        <v>0.0</v>
      </c>
      <c r="L297" s="31">
        <f>AP297+MIN(V296+AF297-AP297,MAX(0,ROUND(ROUND(Долги!$D$19-SUM($AL297:$AU297),2)-(SUM($H297:K297)-SUM($AL297:AO297)),2)))</f>
        <v>0.0</v>
      </c>
      <c r="M297" s="31">
        <f>AQ297+MIN(W296+AG297-AQ297,MAX(0,ROUND(ROUND(Долги!$D$19-SUM($AL297:$AU297),2)-(SUM($H297:L297)-SUM($AL297:AP297)),2)))</f>
        <v>0.0</v>
      </c>
      <c r="N297" s="31">
        <f>AR297+MIN(X296+AH297-AR297,MAX(0,ROUND(ROUND(Долги!$D$19-SUM($AL297:$AU297),2)-(SUM($H297:M297)-SUM($AL297:AQ297)),2)))</f>
        <v>0.0</v>
      </c>
      <c r="O297" s="31">
        <f>AS297+MIN(Y296+AI297-AS297,MAX(0,ROUND(ROUND(Долги!$D$19-SUM($AL297:$AU297),2)-(SUM($H297:N297)-SUM($AL297:AR297)),2)))</f>
        <v>0.0</v>
      </c>
      <c r="P297" s="31">
        <f>AT297+MIN(Z296+AJ297-AT297,MAX(0,ROUND(ROUND(Долги!$D$19-SUM($AL297:$AU297),2)-(SUM($H297:O297)-SUM($AL297:AS297)),2)))</f>
        <v>0.0</v>
      </c>
      <c r="Q297" s="31">
        <f>AU297+MIN(AA296+AK297-AU297,MAX(0,ROUND(ROUND(Долги!$D$19-SUM($AL297:$AU297),2)-(SUM($H297:P297)-SUM($AL297:AT297)),2)))</f>
        <v>0.0</v>
      </c>
      <c r="R297" s="31">
        <f>IF(R296+AB297-H297&lt;=0.01,0,ROUND(R296+AB297-H297,2))</f>
        <v>0.0</v>
      </c>
      <c r="S297" s="31">
        <f>IF(S296+AC297-I297&lt;=0.01,0,ROUND(S296+AC297-I297,2))</f>
        <v>0.0</v>
      </c>
      <c r="T297" s="31">
        <f>IF(T296+AD297-J297&lt;=0.01,0,ROUND(T296+AD297-J297,2))</f>
        <v>0.0</v>
      </c>
      <c r="U297" s="31">
        <f>IF(U296+AE297-K297&lt;=0.01,0,ROUND(U296+AE297-K297,2))</f>
        <v>0.0</v>
      </c>
      <c r="V297" s="31">
        <f>IF(V296+AF297-L297&lt;=0.01,0,ROUND(V296+AF297-L297,2))</f>
        <v>0.0</v>
      </c>
      <c r="W297" s="31">
        <f>IF(W296+AG297-M297&lt;=0.01,0,ROUND(W296+AG297-M297,2))</f>
        <v>0.0</v>
      </c>
      <c r="X297" s="31">
        <f>IF(X296+AH297-N297&lt;=0.01,0,ROUND(X296+AH297-N297,2))</f>
        <v>0.0</v>
      </c>
      <c r="Y297" s="31">
        <f>IF(Y296+AI297-O297&lt;=0.01,0,ROUND(Y296+AI297-O297,2))</f>
        <v>0.0</v>
      </c>
      <c r="Z297" s="31">
        <f>IF(Z296+AJ297-P297&lt;=0.01,0,ROUND(Z296+AJ297-P297,2))</f>
        <v>0.0</v>
      </c>
      <c r="AA297" s="31">
        <f>IF(AA296+AK297-Q297&lt;=0.01,0,ROUND(AA296+AK297-Q297,2))</f>
        <v>0.0</v>
      </c>
      <c r="AB297" s="31">
        <f>ROUND(R296*AB$5/1200,2)</f>
        <v>0.0</v>
      </c>
      <c r="AC297" s="31">
        <f>ROUND(S296*AC$5/1200,2)</f>
        <v>0.0</v>
      </c>
      <c r="AD297" s="31">
        <f>ROUND(T296*AD$5/1200,2)</f>
        <v>0.0</v>
      </c>
      <c r="AE297" s="31">
        <f>ROUND(U296*AE$5/1200,2)</f>
        <v>0.0</v>
      </c>
      <c r="AF297" s="31">
        <f>ROUND(V296*AF$5/1200,2)</f>
        <v>0.0</v>
      </c>
      <c r="AG297" s="31">
        <f>ROUND(W296*AG$5/1200,2)</f>
        <v>0.0</v>
      </c>
      <c r="AH297" s="31">
        <f>ROUND(X296*AH$5/1200,2)</f>
        <v>0.0</v>
      </c>
      <c r="AI297" s="31">
        <f>ROUND(Y296*AI$5/1200,2)</f>
        <v>0.0</v>
      </c>
      <c r="AJ297" s="31">
        <f>ROUND(Z296*AJ$5/1200,2)</f>
        <v>0.0</v>
      </c>
      <c r="AK297" s="31">
        <f>ROUND(AA296*AK$5/1200,2)</f>
        <v>0.0</v>
      </c>
      <c r="AL297" s="31">
        <f>MIN(AL$5,R296+AB297)</f>
        <v>0.0</v>
      </c>
      <c r="AM297" s="31">
        <f>MIN(AM$5,S296+AC297)</f>
        <v>0.0</v>
      </c>
      <c r="AN297" s="31">
        <f>MIN(AN$5,T296+AD297)</f>
        <v>0.0</v>
      </c>
      <c r="AO297" s="31">
        <f>MIN(AO$5,U296+AE297)</f>
        <v>0.0</v>
      </c>
      <c r="AP297" s="31">
        <f>MIN(AP$5,V296+AF297)</f>
        <v>0.0</v>
      </c>
      <c r="AQ297" s="31">
        <f>MIN(AQ$5,W296+AG297)</f>
        <v>0.0</v>
      </c>
      <c r="AR297" s="31">
        <f>MIN(AR$5,X296+AH297)</f>
        <v>0.0</v>
      </c>
      <c r="AS297" s="31">
        <f>MIN(AS$5,Y296+AI297)</f>
        <v>0.0</v>
      </c>
      <c r="AT297" s="31">
        <f>MIN(AT$5,Z296+AJ297)</f>
        <v>0.0</v>
      </c>
      <c r="AU297" s="31">
        <f>MIN(AU$5,AA296+AK297)</f>
        <v>0.0</v>
      </c>
    </row>
    <row r="298">
      <c r="A298" s="25" t="str">
        <f>IF(F297&gt;0.005,293,"")</f>
        <v/>
      </c>
      <c r="B298" s="33" t="str">
        <f>IF(A298="","",EDATE(Долги!$D$5,292))</f>
        <v/>
      </c>
      <c r="C298" s="31">
        <f>SUM(H298:Q298)</f>
        <v>0.0</v>
      </c>
      <c r="D298" s="31">
        <f>SUM(AB298:AK298)</f>
        <v>0.0</v>
      </c>
      <c r="E298" s="31">
        <f>C298-D298</f>
        <v>0.0</v>
      </c>
      <c r="F298" s="31">
        <f>SUM(R298:AA298)</f>
        <v>0.0</v>
      </c>
      <c r="G298" s="34" t="str">
        <f>IF(OR(A298="",$F$5&lt;=0),"",REPT("█",ROUND(20*F298/$F$5,0)))</f>
        <v/>
      </c>
      <c r="H298" s="31">
        <f>AL298+MIN(R297+AB298-AL298,MAX(0,ROUND(Долги!$D$19-SUM($AL298:$AU298),2)))</f>
        <v>0.0</v>
      </c>
      <c r="I298" s="31">
        <f>AM298+MIN(S297+AC298-AM298,MAX(0,ROUND(ROUND(Долги!$D$19-SUM($AL298:$AU298),2)-(SUM($H298:H298)-SUM($AL298:AL298)),2)))</f>
        <v>0.0</v>
      </c>
      <c r="J298" s="31">
        <f>AN298+MIN(T297+AD298-AN298,MAX(0,ROUND(ROUND(Долги!$D$19-SUM($AL298:$AU298),2)-(SUM($H298:I298)-SUM($AL298:AM298)),2)))</f>
        <v>0.0</v>
      </c>
      <c r="K298" s="31">
        <f>AO298+MIN(U297+AE298-AO298,MAX(0,ROUND(ROUND(Долги!$D$19-SUM($AL298:$AU298),2)-(SUM($H298:J298)-SUM($AL298:AN298)),2)))</f>
        <v>0.0</v>
      </c>
      <c r="L298" s="31">
        <f>AP298+MIN(V297+AF298-AP298,MAX(0,ROUND(ROUND(Долги!$D$19-SUM($AL298:$AU298),2)-(SUM($H298:K298)-SUM($AL298:AO298)),2)))</f>
        <v>0.0</v>
      </c>
      <c r="M298" s="31">
        <f>AQ298+MIN(W297+AG298-AQ298,MAX(0,ROUND(ROUND(Долги!$D$19-SUM($AL298:$AU298),2)-(SUM($H298:L298)-SUM($AL298:AP298)),2)))</f>
        <v>0.0</v>
      </c>
      <c r="N298" s="31">
        <f>AR298+MIN(X297+AH298-AR298,MAX(0,ROUND(ROUND(Долги!$D$19-SUM($AL298:$AU298),2)-(SUM($H298:M298)-SUM($AL298:AQ298)),2)))</f>
        <v>0.0</v>
      </c>
      <c r="O298" s="31">
        <f>AS298+MIN(Y297+AI298-AS298,MAX(0,ROUND(ROUND(Долги!$D$19-SUM($AL298:$AU298),2)-(SUM($H298:N298)-SUM($AL298:AR298)),2)))</f>
        <v>0.0</v>
      </c>
      <c r="P298" s="31">
        <f>AT298+MIN(Z297+AJ298-AT298,MAX(0,ROUND(ROUND(Долги!$D$19-SUM($AL298:$AU298),2)-(SUM($H298:O298)-SUM($AL298:AS298)),2)))</f>
        <v>0.0</v>
      </c>
      <c r="Q298" s="31">
        <f>AU298+MIN(AA297+AK298-AU298,MAX(0,ROUND(ROUND(Долги!$D$19-SUM($AL298:$AU298),2)-(SUM($H298:P298)-SUM($AL298:AT298)),2)))</f>
        <v>0.0</v>
      </c>
      <c r="R298" s="31">
        <f>IF(R297+AB298-H298&lt;=0.01,0,ROUND(R297+AB298-H298,2))</f>
        <v>0.0</v>
      </c>
      <c r="S298" s="31">
        <f>IF(S297+AC298-I298&lt;=0.01,0,ROUND(S297+AC298-I298,2))</f>
        <v>0.0</v>
      </c>
      <c r="T298" s="31">
        <f>IF(T297+AD298-J298&lt;=0.01,0,ROUND(T297+AD298-J298,2))</f>
        <v>0.0</v>
      </c>
      <c r="U298" s="31">
        <f>IF(U297+AE298-K298&lt;=0.01,0,ROUND(U297+AE298-K298,2))</f>
        <v>0.0</v>
      </c>
      <c r="V298" s="31">
        <f>IF(V297+AF298-L298&lt;=0.01,0,ROUND(V297+AF298-L298,2))</f>
        <v>0.0</v>
      </c>
      <c r="W298" s="31">
        <f>IF(W297+AG298-M298&lt;=0.01,0,ROUND(W297+AG298-M298,2))</f>
        <v>0.0</v>
      </c>
      <c r="X298" s="31">
        <f>IF(X297+AH298-N298&lt;=0.01,0,ROUND(X297+AH298-N298,2))</f>
        <v>0.0</v>
      </c>
      <c r="Y298" s="31">
        <f>IF(Y297+AI298-O298&lt;=0.01,0,ROUND(Y297+AI298-O298,2))</f>
        <v>0.0</v>
      </c>
      <c r="Z298" s="31">
        <f>IF(Z297+AJ298-P298&lt;=0.01,0,ROUND(Z297+AJ298-P298,2))</f>
        <v>0.0</v>
      </c>
      <c r="AA298" s="31">
        <f>IF(AA297+AK298-Q298&lt;=0.01,0,ROUND(AA297+AK298-Q298,2))</f>
        <v>0.0</v>
      </c>
      <c r="AB298" s="31">
        <f>ROUND(R297*AB$5/1200,2)</f>
        <v>0.0</v>
      </c>
      <c r="AC298" s="31">
        <f>ROUND(S297*AC$5/1200,2)</f>
        <v>0.0</v>
      </c>
      <c r="AD298" s="31">
        <f>ROUND(T297*AD$5/1200,2)</f>
        <v>0.0</v>
      </c>
      <c r="AE298" s="31">
        <f>ROUND(U297*AE$5/1200,2)</f>
        <v>0.0</v>
      </c>
      <c r="AF298" s="31">
        <f>ROUND(V297*AF$5/1200,2)</f>
        <v>0.0</v>
      </c>
      <c r="AG298" s="31">
        <f>ROUND(W297*AG$5/1200,2)</f>
        <v>0.0</v>
      </c>
      <c r="AH298" s="31">
        <f>ROUND(X297*AH$5/1200,2)</f>
        <v>0.0</v>
      </c>
      <c r="AI298" s="31">
        <f>ROUND(Y297*AI$5/1200,2)</f>
        <v>0.0</v>
      </c>
      <c r="AJ298" s="31">
        <f>ROUND(Z297*AJ$5/1200,2)</f>
        <v>0.0</v>
      </c>
      <c r="AK298" s="31">
        <f>ROUND(AA297*AK$5/1200,2)</f>
        <v>0.0</v>
      </c>
      <c r="AL298" s="31">
        <f>MIN(AL$5,R297+AB298)</f>
        <v>0.0</v>
      </c>
      <c r="AM298" s="31">
        <f>MIN(AM$5,S297+AC298)</f>
        <v>0.0</v>
      </c>
      <c r="AN298" s="31">
        <f>MIN(AN$5,T297+AD298)</f>
        <v>0.0</v>
      </c>
      <c r="AO298" s="31">
        <f>MIN(AO$5,U297+AE298)</f>
        <v>0.0</v>
      </c>
      <c r="AP298" s="31">
        <f>MIN(AP$5,V297+AF298)</f>
        <v>0.0</v>
      </c>
      <c r="AQ298" s="31">
        <f>MIN(AQ$5,W297+AG298)</f>
        <v>0.0</v>
      </c>
      <c r="AR298" s="31">
        <f>MIN(AR$5,X297+AH298)</f>
        <v>0.0</v>
      </c>
      <c r="AS298" s="31">
        <f>MIN(AS$5,Y297+AI298)</f>
        <v>0.0</v>
      </c>
      <c r="AT298" s="31">
        <f>MIN(AT$5,Z297+AJ298)</f>
        <v>0.0</v>
      </c>
      <c r="AU298" s="31">
        <f>MIN(AU$5,AA297+AK298)</f>
        <v>0.0</v>
      </c>
    </row>
    <row r="299">
      <c r="A299" s="25" t="str">
        <f>IF(F298&gt;0.005,294,"")</f>
        <v/>
      </c>
      <c r="B299" s="33" t="str">
        <f>IF(A299="","",EDATE(Долги!$D$5,293))</f>
        <v/>
      </c>
      <c r="C299" s="31">
        <f>SUM(H299:Q299)</f>
        <v>0.0</v>
      </c>
      <c r="D299" s="31">
        <f>SUM(AB299:AK299)</f>
        <v>0.0</v>
      </c>
      <c r="E299" s="31">
        <f>C299-D299</f>
        <v>0.0</v>
      </c>
      <c r="F299" s="31">
        <f>SUM(R299:AA299)</f>
        <v>0.0</v>
      </c>
      <c r="G299" s="34" t="str">
        <f>IF(OR(A299="",$F$5&lt;=0),"",REPT("█",ROUND(20*F299/$F$5,0)))</f>
        <v/>
      </c>
      <c r="H299" s="31">
        <f>AL299+MIN(R298+AB299-AL299,MAX(0,ROUND(Долги!$D$19-SUM($AL299:$AU299),2)))</f>
        <v>0.0</v>
      </c>
      <c r="I299" s="31">
        <f>AM299+MIN(S298+AC299-AM299,MAX(0,ROUND(ROUND(Долги!$D$19-SUM($AL299:$AU299),2)-(SUM($H299:H299)-SUM($AL299:AL299)),2)))</f>
        <v>0.0</v>
      </c>
      <c r="J299" s="31">
        <f>AN299+MIN(T298+AD299-AN299,MAX(0,ROUND(ROUND(Долги!$D$19-SUM($AL299:$AU299),2)-(SUM($H299:I299)-SUM($AL299:AM299)),2)))</f>
        <v>0.0</v>
      </c>
      <c r="K299" s="31">
        <f>AO299+MIN(U298+AE299-AO299,MAX(0,ROUND(ROUND(Долги!$D$19-SUM($AL299:$AU299),2)-(SUM($H299:J299)-SUM($AL299:AN299)),2)))</f>
        <v>0.0</v>
      </c>
      <c r="L299" s="31">
        <f>AP299+MIN(V298+AF299-AP299,MAX(0,ROUND(ROUND(Долги!$D$19-SUM($AL299:$AU299),2)-(SUM($H299:K299)-SUM($AL299:AO299)),2)))</f>
        <v>0.0</v>
      </c>
      <c r="M299" s="31">
        <f>AQ299+MIN(W298+AG299-AQ299,MAX(0,ROUND(ROUND(Долги!$D$19-SUM($AL299:$AU299),2)-(SUM($H299:L299)-SUM($AL299:AP299)),2)))</f>
        <v>0.0</v>
      </c>
      <c r="N299" s="31">
        <f>AR299+MIN(X298+AH299-AR299,MAX(0,ROUND(ROUND(Долги!$D$19-SUM($AL299:$AU299),2)-(SUM($H299:M299)-SUM($AL299:AQ299)),2)))</f>
        <v>0.0</v>
      </c>
      <c r="O299" s="31">
        <f>AS299+MIN(Y298+AI299-AS299,MAX(0,ROUND(ROUND(Долги!$D$19-SUM($AL299:$AU299),2)-(SUM($H299:N299)-SUM($AL299:AR299)),2)))</f>
        <v>0.0</v>
      </c>
      <c r="P299" s="31">
        <f>AT299+MIN(Z298+AJ299-AT299,MAX(0,ROUND(ROUND(Долги!$D$19-SUM($AL299:$AU299),2)-(SUM($H299:O299)-SUM($AL299:AS299)),2)))</f>
        <v>0.0</v>
      </c>
      <c r="Q299" s="31">
        <f>AU299+MIN(AA298+AK299-AU299,MAX(0,ROUND(ROUND(Долги!$D$19-SUM($AL299:$AU299),2)-(SUM($H299:P299)-SUM($AL299:AT299)),2)))</f>
        <v>0.0</v>
      </c>
      <c r="R299" s="31">
        <f>IF(R298+AB299-H299&lt;=0.01,0,ROUND(R298+AB299-H299,2))</f>
        <v>0.0</v>
      </c>
      <c r="S299" s="31">
        <f>IF(S298+AC299-I299&lt;=0.01,0,ROUND(S298+AC299-I299,2))</f>
        <v>0.0</v>
      </c>
      <c r="T299" s="31">
        <f>IF(T298+AD299-J299&lt;=0.01,0,ROUND(T298+AD299-J299,2))</f>
        <v>0.0</v>
      </c>
      <c r="U299" s="31">
        <f>IF(U298+AE299-K299&lt;=0.01,0,ROUND(U298+AE299-K299,2))</f>
        <v>0.0</v>
      </c>
      <c r="V299" s="31">
        <f>IF(V298+AF299-L299&lt;=0.01,0,ROUND(V298+AF299-L299,2))</f>
        <v>0.0</v>
      </c>
      <c r="W299" s="31">
        <f>IF(W298+AG299-M299&lt;=0.01,0,ROUND(W298+AG299-M299,2))</f>
        <v>0.0</v>
      </c>
      <c r="X299" s="31">
        <f>IF(X298+AH299-N299&lt;=0.01,0,ROUND(X298+AH299-N299,2))</f>
        <v>0.0</v>
      </c>
      <c r="Y299" s="31">
        <f>IF(Y298+AI299-O299&lt;=0.01,0,ROUND(Y298+AI299-O299,2))</f>
        <v>0.0</v>
      </c>
      <c r="Z299" s="31">
        <f>IF(Z298+AJ299-P299&lt;=0.01,0,ROUND(Z298+AJ299-P299,2))</f>
        <v>0.0</v>
      </c>
      <c r="AA299" s="31">
        <f>IF(AA298+AK299-Q299&lt;=0.01,0,ROUND(AA298+AK299-Q299,2))</f>
        <v>0.0</v>
      </c>
      <c r="AB299" s="31">
        <f>ROUND(R298*AB$5/1200,2)</f>
        <v>0.0</v>
      </c>
      <c r="AC299" s="31">
        <f>ROUND(S298*AC$5/1200,2)</f>
        <v>0.0</v>
      </c>
      <c r="AD299" s="31">
        <f>ROUND(T298*AD$5/1200,2)</f>
        <v>0.0</v>
      </c>
      <c r="AE299" s="31">
        <f>ROUND(U298*AE$5/1200,2)</f>
        <v>0.0</v>
      </c>
      <c r="AF299" s="31">
        <f>ROUND(V298*AF$5/1200,2)</f>
        <v>0.0</v>
      </c>
      <c r="AG299" s="31">
        <f>ROUND(W298*AG$5/1200,2)</f>
        <v>0.0</v>
      </c>
      <c r="AH299" s="31">
        <f>ROUND(X298*AH$5/1200,2)</f>
        <v>0.0</v>
      </c>
      <c r="AI299" s="31">
        <f>ROUND(Y298*AI$5/1200,2)</f>
        <v>0.0</v>
      </c>
      <c r="AJ299" s="31">
        <f>ROUND(Z298*AJ$5/1200,2)</f>
        <v>0.0</v>
      </c>
      <c r="AK299" s="31">
        <f>ROUND(AA298*AK$5/1200,2)</f>
        <v>0.0</v>
      </c>
      <c r="AL299" s="31">
        <f>MIN(AL$5,R298+AB299)</f>
        <v>0.0</v>
      </c>
      <c r="AM299" s="31">
        <f>MIN(AM$5,S298+AC299)</f>
        <v>0.0</v>
      </c>
      <c r="AN299" s="31">
        <f>MIN(AN$5,T298+AD299)</f>
        <v>0.0</v>
      </c>
      <c r="AO299" s="31">
        <f>MIN(AO$5,U298+AE299)</f>
        <v>0.0</v>
      </c>
      <c r="AP299" s="31">
        <f>MIN(AP$5,V298+AF299)</f>
        <v>0.0</v>
      </c>
      <c r="AQ299" s="31">
        <f>MIN(AQ$5,W298+AG299)</f>
        <v>0.0</v>
      </c>
      <c r="AR299" s="31">
        <f>MIN(AR$5,X298+AH299)</f>
        <v>0.0</v>
      </c>
      <c r="AS299" s="31">
        <f>MIN(AS$5,Y298+AI299)</f>
        <v>0.0</v>
      </c>
      <c r="AT299" s="31">
        <f>MIN(AT$5,Z298+AJ299)</f>
        <v>0.0</v>
      </c>
      <c r="AU299" s="31">
        <f>MIN(AU$5,AA298+AK299)</f>
        <v>0.0</v>
      </c>
    </row>
    <row r="300">
      <c r="A300" s="25" t="str">
        <f>IF(F299&gt;0.005,295,"")</f>
        <v/>
      </c>
      <c r="B300" s="33" t="str">
        <f>IF(A300="","",EDATE(Долги!$D$5,294))</f>
        <v/>
      </c>
      <c r="C300" s="31">
        <f>SUM(H300:Q300)</f>
        <v>0.0</v>
      </c>
      <c r="D300" s="31">
        <f>SUM(AB300:AK300)</f>
        <v>0.0</v>
      </c>
      <c r="E300" s="31">
        <f>C300-D300</f>
        <v>0.0</v>
      </c>
      <c r="F300" s="31">
        <f>SUM(R300:AA300)</f>
        <v>0.0</v>
      </c>
      <c r="G300" s="34" t="str">
        <f>IF(OR(A300="",$F$5&lt;=0),"",REPT("█",ROUND(20*F300/$F$5,0)))</f>
        <v/>
      </c>
      <c r="H300" s="31">
        <f>AL300+MIN(R299+AB300-AL300,MAX(0,ROUND(Долги!$D$19-SUM($AL300:$AU300),2)))</f>
        <v>0.0</v>
      </c>
      <c r="I300" s="31">
        <f>AM300+MIN(S299+AC300-AM300,MAX(0,ROUND(ROUND(Долги!$D$19-SUM($AL300:$AU300),2)-(SUM($H300:H300)-SUM($AL300:AL300)),2)))</f>
        <v>0.0</v>
      </c>
      <c r="J300" s="31">
        <f>AN300+MIN(T299+AD300-AN300,MAX(0,ROUND(ROUND(Долги!$D$19-SUM($AL300:$AU300),2)-(SUM($H300:I300)-SUM($AL300:AM300)),2)))</f>
        <v>0.0</v>
      </c>
      <c r="K300" s="31">
        <f>AO300+MIN(U299+AE300-AO300,MAX(0,ROUND(ROUND(Долги!$D$19-SUM($AL300:$AU300),2)-(SUM($H300:J300)-SUM($AL300:AN300)),2)))</f>
        <v>0.0</v>
      </c>
      <c r="L300" s="31">
        <f>AP300+MIN(V299+AF300-AP300,MAX(0,ROUND(ROUND(Долги!$D$19-SUM($AL300:$AU300),2)-(SUM($H300:K300)-SUM($AL300:AO300)),2)))</f>
        <v>0.0</v>
      </c>
      <c r="M300" s="31">
        <f>AQ300+MIN(W299+AG300-AQ300,MAX(0,ROUND(ROUND(Долги!$D$19-SUM($AL300:$AU300),2)-(SUM($H300:L300)-SUM($AL300:AP300)),2)))</f>
        <v>0.0</v>
      </c>
      <c r="N300" s="31">
        <f>AR300+MIN(X299+AH300-AR300,MAX(0,ROUND(ROUND(Долги!$D$19-SUM($AL300:$AU300),2)-(SUM($H300:M300)-SUM($AL300:AQ300)),2)))</f>
        <v>0.0</v>
      </c>
      <c r="O300" s="31">
        <f>AS300+MIN(Y299+AI300-AS300,MAX(0,ROUND(ROUND(Долги!$D$19-SUM($AL300:$AU300),2)-(SUM($H300:N300)-SUM($AL300:AR300)),2)))</f>
        <v>0.0</v>
      </c>
      <c r="P300" s="31">
        <f>AT300+MIN(Z299+AJ300-AT300,MAX(0,ROUND(ROUND(Долги!$D$19-SUM($AL300:$AU300),2)-(SUM($H300:O300)-SUM($AL300:AS300)),2)))</f>
        <v>0.0</v>
      </c>
      <c r="Q300" s="31">
        <f>AU300+MIN(AA299+AK300-AU300,MAX(0,ROUND(ROUND(Долги!$D$19-SUM($AL300:$AU300),2)-(SUM($H300:P300)-SUM($AL300:AT300)),2)))</f>
        <v>0.0</v>
      </c>
      <c r="R300" s="31">
        <f>IF(R299+AB300-H300&lt;=0.01,0,ROUND(R299+AB300-H300,2))</f>
        <v>0.0</v>
      </c>
      <c r="S300" s="31">
        <f>IF(S299+AC300-I300&lt;=0.01,0,ROUND(S299+AC300-I300,2))</f>
        <v>0.0</v>
      </c>
      <c r="T300" s="31">
        <f>IF(T299+AD300-J300&lt;=0.01,0,ROUND(T299+AD300-J300,2))</f>
        <v>0.0</v>
      </c>
      <c r="U300" s="31">
        <f>IF(U299+AE300-K300&lt;=0.01,0,ROUND(U299+AE300-K300,2))</f>
        <v>0.0</v>
      </c>
      <c r="V300" s="31">
        <f>IF(V299+AF300-L300&lt;=0.01,0,ROUND(V299+AF300-L300,2))</f>
        <v>0.0</v>
      </c>
      <c r="W300" s="31">
        <f>IF(W299+AG300-M300&lt;=0.01,0,ROUND(W299+AG300-M300,2))</f>
        <v>0.0</v>
      </c>
      <c r="X300" s="31">
        <f>IF(X299+AH300-N300&lt;=0.01,0,ROUND(X299+AH300-N300,2))</f>
        <v>0.0</v>
      </c>
      <c r="Y300" s="31">
        <f>IF(Y299+AI300-O300&lt;=0.01,0,ROUND(Y299+AI300-O300,2))</f>
        <v>0.0</v>
      </c>
      <c r="Z300" s="31">
        <f>IF(Z299+AJ300-P300&lt;=0.01,0,ROUND(Z299+AJ300-P300,2))</f>
        <v>0.0</v>
      </c>
      <c r="AA300" s="31">
        <f>IF(AA299+AK300-Q300&lt;=0.01,0,ROUND(AA299+AK300-Q300,2))</f>
        <v>0.0</v>
      </c>
      <c r="AB300" s="31">
        <f>ROUND(R299*AB$5/1200,2)</f>
        <v>0.0</v>
      </c>
      <c r="AC300" s="31">
        <f>ROUND(S299*AC$5/1200,2)</f>
        <v>0.0</v>
      </c>
      <c r="AD300" s="31">
        <f>ROUND(T299*AD$5/1200,2)</f>
        <v>0.0</v>
      </c>
      <c r="AE300" s="31">
        <f>ROUND(U299*AE$5/1200,2)</f>
        <v>0.0</v>
      </c>
      <c r="AF300" s="31">
        <f>ROUND(V299*AF$5/1200,2)</f>
        <v>0.0</v>
      </c>
      <c r="AG300" s="31">
        <f>ROUND(W299*AG$5/1200,2)</f>
        <v>0.0</v>
      </c>
      <c r="AH300" s="31">
        <f>ROUND(X299*AH$5/1200,2)</f>
        <v>0.0</v>
      </c>
      <c r="AI300" s="31">
        <f>ROUND(Y299*AI$5/1200,2)</f>
        <v>0.0</v>
      </c>
      <c r="AJ300" s="31">
        <f>ROUND(Z299*AJ$5/1200,2)</f>
        <v>0.0</v>
      </c>
      <c r="AK300" s="31">
        <f>ROUND(AA299*AK$5/1200,2)</f>
        <v>0.0</v>
      </c>
      <c r="AL300" s="31">
        <f>MIN(AL$5,R299+AB300)</f>
        <v>0.0</v>
      </c>
      <c r="AM300" s="31">
        <f>MIN(AM$5,S299+AC300)</f>
        <v>0.0</v>
      </c>
      <c r="AN300" s="31">
        <f>MIN(AN$5,T299+AD300)</f>
        <v>0.0</v>
      </c>
      <c r="AO300" s="31">
        <f>MIN(AO$5,U299+AE300)</f>
        <v>0.0</v>
      </c>
      <c r="AP300" s="31">
        <f>MIN(AP$5,V299+AF300)</f>
        <v>0.0</v>
      </c>
      <c r="AQ300" s="31">
        <f>MIN(AQ$5,W299+AG300)</f>
        <v>0.0</v>
      </c>
      <c r="AR300" s="31">
        <f>MIN(AR$5,X299+AH300)</f>
        <v>0.0</v>
      </c>
      <c r="AS300" s="31">
        <f>MIN(AS$5,Y299+AI300)</f>
        <v>0.0</v>
      </c>
      <c r="AT300" s="31">
        <f>MIN(AT$5,Z299+AJ300)</f>
        <v>0.0</v>
      </c>
      <c r="AU300" s="31">
        <f>MIN(AU$5,AA299+AK300)</f>
        <v>0.0</v>
      </c>
    </row>
    <row r="301">
      <c r="A301" s="25" t="str">
        <f>IF(F300&gt;0.005,296,"")</f>
        <v/>
      </c>
      <c r="B301" s="33" t="str">
        <f>IF(A301="","",EDATE(Долги!$D$5,295))</f>
        <v/>
      </c>
      <c r="C301" s="31">
        <f>SUM(H301:Q301)</f>
        <v>0.0</v>
      </c>
      <c r="D301" s="31">
        <f>SUM(AB301:AK301)</f>
        <v>0.0</v>
      </c>
      <c r="E301" s="31">
        <f>C301-D301</f>
        <v>0.0</v>
      </c>
      <c r="F301" s="31">
        <f>SUM(R301:AA301)</f>
        <v>0.0</v>
      </c>
      <c r="G301" s="34" t="str">
        <f>IF(OR(A301="",$F$5&lt;=0),"",REPT("█",ROUND(20*F301/$F$5,0)))</f>
        <v/>
      </c>
      <c r="H301" s="31">
        <f>AL301+MIN(R300+AB301-AL301,MAX(0,ROUND(Долги!$D$19-SUM($AL301:$AU301),2)))</f>
        <v>0.0</v>
      </c>
      <c r="I301" s="31">
        <f>AM301+MIN(S300+AC301-AM301,MAX(0,ROUND(ROUND(Долги!$D$19-SUM($AL301:$AU301),2)-(SUM($H301:H301)-SUM($AL301:AL301)),2)))</f>
        <v>0.0</v>
      </c>
      <c r="J301" s="31">
        <f>AN301+MIN(T300+AD301-AN301,MAX(0,ROUND(ROUND(Долги!$D$19-SUM($AL301:$AU301),2)-(SUM($H301:I301)-SUM($AL301:AM301)),2)))</f>
        <v>0.0</v>
      </c>
      <c r="K301" s="31">
        <f>AO301+MIN(U300+AE301-AO301,MAX(0,ROUND(ROUND(Долги!$D$19-SUM($AL301:$AU301),2)-(SUM($H301:J301)-SUM($AL301:AN301)),2)))</f>
        <v>0.0</v>
      </c>
      <c r="L301" s="31">
        <f>AP301+MIN(V300+AF301-AP301,MAX(0,ROUND(ROUND(Долги!$D$19-SUM($AL301:$AU301),2)-(SUM($H301:K301)-SUM($AL301:AO301)),2)))</f>
        <v>0.0</v>
      </c>
      <c r="M301" s="31">
        <f>AQ301+MIN(W300+AG301-AQ301,MAX(0,ROUND(ROUND(Долги!$D$19-SUM($AL301:$AU301),2)-(SUM($H301:L301)-SUM($AL301:AP301)),2)))</f>
        <v>0.0</v>
      </c>
      <c r="N301" s="31">
        <f>AR301+MIN(X300+AH301-AR301,MAX(0,ROUND(ROUND(Долги!$D$19-SUM($AL301:$AU301),2)-(SUM($H301:M301)-SUM($AL301:AQ301)),2)))</f>
        <v>0.0</v>
      </c>
      <c r="O301" s="31">
        <f>AS301+MIN(Y300+AI301-AS301,MAX(0,ROUND(ROUND(Долги!$D$19-SUM($AL301:$AU301),2)-(SUM($H301:N301)-SUM($AL301:AR301)),2)))</f>
        <v>0.0</v>
      </c>
      <c r="P301" s="31">
        <f>AT301+MIN(Z300+AJ301-AT301,MAX(0,ROUND(ROUND(Долги!$D$19-SUM($AL301:$AU301),2)-(SUM($H301:O301)-SUM($AL301:AS301)),2)))</f>
        <v>0.0</v>
      </c>
      <c r="Q301" s="31">
        <f>AU301+MIN(AA300+AK301-AU301,MAX(0,ROUND(ROUND(Долги!$D$19-SUM($AL301:$AU301),2)-(SUM($H301:P301)-SUM($AL301:AT301)),2)))</f>
        <v>0.0</v>
      </c>
      <c r="R301" s="31">
        <f>IF(R300+AB301-H301&lt;=0.01,0,ROUND(R300+AB301-H301,2))</f>
        <v>0.0</v>
      </c>
      <c r="S301" s="31">
        <f>IF(S300+AC301-I301&lt;=0.01,0,ROUND(S300+AC301-I301,2))</f>
        <v>0.0</v>
      </c>
      <c r="T301" s="31">
        <f>IF(T300+AD301-J301&lt;=0.01,0,ROUND(T300+AD301-J301,2))</f>
        <v>0.0</v>
      </c>
      <c r="U301" s="31">
        <f>IF(U300+AE301-K301&lt;=0.01,0,ROUND(U300+AE301-K301,2))</f>
        <v>0.0</v>
      </c>
      <c r="V301" s="31">
        <f>IF(V300+AF301-L301&lt;=0.01,0,ROUND(V300+AF301-L301,2))</f>
        <v>0.0</v>
      </c>
      <c r="W301" s="31">
        <f>IF(W300+AG301-M301&lt;=0.01,0,ROUND(W300+AG301-M301,2))</f>
        <v>0.0</v>
      </c>
      <c r="X301" s="31">
        <f>IF(X300+AH301-N301&lt;=0.01,0,ROUND(X300+AH301-N301,2))</f>
        <v>0.0</v>
      </c>
      <c r="Y301" s="31">
        <f>IF(Y300+AI301-O301&lt;=0.01,0,ROUND(Y300+AI301-O301,2))</f>
        <v>0.0</v>
      </c>
      <c r="Z301" s="31">
        <f>IF(Z300+AJ301-P301&lt;=0.01,0,ROUND(Z300+AJ301-P301,2))</f>
        <v>0.0</v>
      </c>
      <c r="AA301" s="31">
        <f>IF(AA300+AK301-Q301&lt;=0.01,0,ROUND(AA300+AK301-Q301,2))</f>
        <v>0.0</v>
      </c>
      <c r="AB301" s="31">
        <f>ROUND(R300*AB$5/1200,2)</f>
        <v>0.0</v>
      </c>
      <c r="AC301" s="31">
        <f>ROUND(S300*AC$5/1200,2)</f>
        <v>0.0</v>
      </c>
      <c r="AD301" s="31">
        <f>ROUND(T300*AD$5/1200,2)</f>
        <v>0.0</v>
      </c>
      <c r="AE301" s="31">
        <f>ROUND(U300*AE$5/1200,2)</f>
        <v>0.0</v>
      </c>
      <c r="AF301" s="31">
        <f>ROUND(V300*AF$5/1200,2)</f>
        <v>0.0</v>
      </c>
      <c r="AG301" s="31">
        <f>ROUND(W300*AG$5/1200,2)</f>
        <v>0.0</v>
      </c>
      <c r="AH301" s="31">
        <f>ROUND(X300*AH$5/1200,2)</f>
        <v>0.0</v>
      </c>
      <c r="AI301" s="31">
        <f>ROUND(Y300*AI$5/1200,2)</f>
        <v>0.0</v>
      </c>
      <c r="AJ301" s="31">
        <f>ROUND(Z300*AJ$5/1200,2)</f>
        <v>0.0</v>
      </c>
      <c r="AK301" s="31">
        <f>ROUND(AA300*AK$5/1200,2)</f>
        <v>0.0</v>
      </c>
      <c r="AL301" s="31">
        <f>MIN(AL$5,R300+AB301)</f>
        <v>0.0</v>
      </c>
      <c r="AM301" s="31">
        <f>MIN(AM$5,S300+AC301)</f>
        <v>0.0</v>
      </c>
      <c r="AN301" s="31">
        <f>MIN(AN$5,T300+AD301)</f>
        <v>0.0</v>
      </c>
      <c r="AO301" s="31">
        <f>MIN(AO$5,U300+AE301)</f>
        <v>0.0</v>
      </c>
      <c r="AP301" s="31">
        <f>MIN(AP$5,V300+AF301)</f>
        <v>0.0</v>
      </c>
      <c r="AQ301" s="31">
        <f>MIN(AQ$5,W300+AG301)</f>
        <v>0.0</v>
      </c>
      <c r="AR301" s="31">
        <f>MIN(AR$5,X300+AH301)</f>
        <v>0.0</v>
      </c>
      <c r="AS301" s="31">
        <f>MIN(AS$5,Y300+AI301)</f>
        <v>0.0</v>
      </c>
      <c r="AT301" s="31">
        <f>MIN(AT$5,Z300+AJ301)</f>
        <v>0.0</v>
      </c>
      <c r="AU301" s="31">
        <f>MIN(AU$5,AA300+AK301)</f>
        <v>0.0</v>
      </c>
    </row>
    <row r="302">
      <c r="A302" s="25" t="str">
        <f>IF(F301&gt;0.005,297,"")</f>
        <v/>
      </c>
      <c r="B302" s="33" t="str">
        <f>IF(A302="","",EDATE(Долги!$D$5,296))</f>
        <v/>
      </c>
      <c r="C302" s="31">
        <f>SUM(H302:Q302)</f>
        <v>0.0</v>
      </c>
      <c r="D302" s="31">
        <f>SUM(AB302:AK302)</f>
        <v>0.0</v>
      </c>
      <c r="E302" s="31">
        <f>C302-D302</f>
        <v>0.0</v>
      </c>
      <c r="F302" s="31">
        <f>SUM(R302:AA302)</f>
        <v>0.0</v>
      </c>
      <c r="G302" s="34" t="str">
        <f>IF(OR(A302="",$F$5&lt;=0),"",REPT("█",ROUND(20*F302/$F$5,0)))</f>
        <v/>
      </c>
      <c r="H302" s="31">
        <f>AL302+MIN(R301+AB302-AL302,MAX(0,ROUND(Долги!$D$19-SUM($AL302:$AU302),2)))</f>
        <v>0.0</v>
      </c>
      <c r="I302" s="31">
        <f>AM302+MIN(S301+AC302-AM302,MAX(0,ROUND(ROUND(Долги!$D$19-SUM($AL302:$AU302),2)-(SUM($H302:H302)-SUM($AL302:AL302)),2)))</f>
        <v>0.0</v>
      </c>
      <c r="J302" s="31">
        <f>AN302+MIN(T301+AD302-AN302,MAX(0,ROUND(ROUND(Долги!$D$19-SUM($AL302:$AU302),2)-(SUM($H302:I302)-SUM($AL302:AM302)),2)))</f>
        <v>0.0</v>
      </c>
      <c r="K302" s="31">
        <f>AO302+MIN(U301+AE302-AO302,MAX(0,ROUND(ROUND(Долги!$D$19-SUM($AL302:$AU302),2)-(SUM($H302:J302)-SUM($AL302:AN302)),2)))</f>
        <v>0.0</v>
      </c>
      <c r="L302" s="31">
        <f>AP302+MIN(V301+AF302-AP302,MAX(0,ROUND(ROUND(Долги!$D$19-SUM($AL302:$AU302),2)-(SUM($H302:K302)-SUM($AL302:AO302)),2)))</f>
        <v>0.0</v>
      </c>
      <c r="M302" s="31">
        <f>AQ302+MIN(W301+AG302-AQ302,MAX(0,ROUND(ROUND(Долги!$D$19-SUM($AL302:$AU302),2)-(SUM($H302:L302)-SUM($AL302:AP302)),2)))</f>
        <v>0.0</v>
      </c>
      <c r="N302" s="31">
        <f>AR302+MIN(X301+AH302-AR302,MAX(0,ROUND(ROUND(Долги!$D$19-SUM($AL302:$AU302),2)-(SUM($H302:M302)-SUM($AL302:AQ302)),2)))</f>
        <v>0.0</v>
      </c>
      <c r="O302" s="31">
        <f>AS302+MIN(Y301+AI302-AS302,MAX(0,ROUND(ROUND(Долги!$D$19-SUM($AL302:$AU302),2)-(SUM($H302:N302)-SUM($AL302:AR302)),2)))</f>
        <v>0.0</v>
      </c>
      <c r="P302" s="31">
        <f>AT302+MIN(Z301+AJ302-AT302,MAX(0,ROUND(ROUND(Долги!$D$19-SUM($AL302:$AU302),2)-(SUM($H302:O302)-SUM($AL302:AS302)),2)))</f>
        <v>0.0</v>
      </c>
      <c r="Q302" s="31">
        <f>AU302+MIN(AA301+AK302-AU302,MAX(0,ROUND(ROUND(Долги!$D$19-SUM($AL302:$AU302),2)-(SUM($H302:P302)-SUM($AL302:AT302)),2)))</f>
        <v>0.0</v>
      </c>
      <c r="R302" s="31">
        <f>IF(R301+AB302-H302&lt;=0.01,0,ROUND(R301+AB302-H302,2))</f>
        <v>0.0</v>
      </c>
      <c r="S302" s="31">
        <f>IF(S301+AC302-I302&lt;=0.01,0,ROUND(S301+AC302-I302,2))</f>
        <v>0.0</v>
      </c>
      <c r="T302" s="31">
        <f>IF(T301+AD302-J302&lt;=0.01,0,ROUND(T301+AD302-J302,2))</f>
        <v>0.0</v>
      </c>
      <c r="U302" s="31">
        <f>IF(U301+AE302-K302&lt;=0.01,0,ROUND(U301+AE302-K302,2))</f>
        <v>0.0</v>
      </c>
      <c r="V302" s="31">
        <f>IF(V301+AF302-L302&lt;=0.01,0,ROUND(V301+AF302-L302,2))</f>
        <v>0.0</v>
      </c>
      <c r="W302" s="31">
        <f>IF(W301+AG302-M302&lt;=0.01,0,ROUND(W301+AG302-M302,2))</f>
        <v>0.0</v>
      </c>
      <c r="X302" s="31">
        <f>IF(X301+AH302-N302&lt;=0.01,0,ROUND(X301+AH302-N302,2))</f>
        <v>0.0</v>
      </c>
      <c r="Y302" s="31">
        <f>IF(Y301+AI302-O302&lt;=0.01,0,ROUND(Y301+AI302-O302,2))</f>
        <v>0.0</v>
      </c>
      <c r="Z302" s="31">
        <f>IF(Z301+AJ302-P302&lt;=0.01,0,ROUND(Z301+AJ302-P302,2))</f>
        <v>0.0</v>
      </c>
      <c r="AA302" s="31">
        <f>IF(AA301+AK302-Q302&lt;=0.01,0,ROUND(AA301+AK302-Q302,2))</f>
        <v>0.0</v>
      </c>
      <c r="AB302" s="31">
        <f>ROUND(R301*AB$5/1200,2)</f>
        <v>0.0</v>
      </c>
      <c r="AC302" s="31">
        <f>ROUND(S301*AC$5/1200,2)</f>
        <v>0.0</v>
      </c>
      <c r="AD302" s="31">
        <f>ROUND(T301*AD$5/1200,2)</f>
        <v>0.0</v>
      </c>
      <c r="AE302" s="31">
        <f>ROUND(U301*AE$5/1200,2)</f>
        <v>0.0</v>
      </c>
      <c r="AF302" s="31">
        <f>ROUND(V301*AF$5/1200,2)</f>
        <v>0.0</v>
      </c>
      <c r="AG302" s="31">
        <f>ROUND(W301*AG$5/1200,2)</f>
        <v>0.0</v>
      </c>
      <c r="AH302" s="31">
        <f>ROUND(X301*AH$5/1200,2)</f>
        <v>0.0</v>
      </c>
      <c r="AI302" s="31">
        <f>ROUND(Y301*AI$5/1200,2)</f>
        <v>0.0</v>
      </c>
      <c r="AJ302" s="31">
        <f>ROUND(Z301*AJ$5/1200,2)</f>
        <v>0.0</v>
      </c>
      <c r="AK302" s="31">
        <f>ROUND(AA301*AK$5/1200,2)</f>
        <v>0.0</v>
      </c>
      <c r="AL302" s="31">
        <f>MIN(AL$5,R301+AB302)</f>
        <v>0.0</v>
      </c>
      <c r="AM302" s="31">
        <f>MIN(AM$5,S301+AC302)</f>
        <v>0.0</v>
      </c>
      <c r="AN302" s="31">
        <f>MIN(AN$5,T301+AD302)</f>
        <v>0.0</v>
      </c>
      <c r="AO302" s="31">
        <f>MIN(AO$5,U301+AE302)</f>
        <v>0.0</v>
      </c>
      <c r="AP302" s="31">
        <f>MIN(AP$5,V301+AF302)</f>
        <v>0.0</v>
      </c>
      <c r="AQ302" s="31">
        <f>MIN(AQ$5,W301+AG302)</f>
        <v>0.0</v>
      </c>
      <c r="AR302" s="31">
        <f>MIN(AR$5,X301+AH302)</f>
        <v>0.0</v>
      </c>
      <c r="AS302" s="31">
        <f>MIN(AS$5,Y301+AI302)</f>
        <v>0.0</v>
      </c>
      <c r="AT302" s="31">
        <f>MIN(AT$5,Z301+AJ302)</f>
        <v>0.0</v>
      </c>
      <c r="AU302" s="31">
        <f>MIN(AU$5,AA301+AK302)</f>
        <v>0.0</v>
      </c>
    </row>
    <row r="303">
      <c r="A303" s="25" t="str">
        <f>IF(F302&gt;0.005,298,"")</f>
        <v/>
      </c>
      <c r="B303" s="33" t="str">
        <f>IF(A303="","",EDATE(Долги!$D$5,297))</f>
        <v/>
      </c>
      <c r="C303" s="31">
        <f>SUM(H303:Q303)</f>
        <v>0.0</v>
      </c>
      <c r="D303" s="31">
        <f>SUM(AB303:AK303)</f>
        <v>0.0</v>
      </c>
      <c r="E303" s="31">
        <f>C303-D303</f>
        <v>0.0</v>
      </c>
      <c r="F303" s="31">
        <f>SUM(R303:AA303)</f>
        <v>0.0</v>
      </c>
      <c r="G303" s="34" t="str">
        <f>IF(OR(A303="",$F$5&lt;=0),"",REPT("█",ROUND(20*F303/$F$5,0)))</f>
        <v/>
      </c>
      <c r="H303" s="31">
        <f>AL303+MIN(R302+AB303-AL303,MAX(0,ROUND(Долги!$D$19-SUM($AL303:$AU303),2)))</f>
        <v>0.0</v>
      </c>
      <c r="I303" s="31">
        <f>AM303+MIN(S302+AC303-AM303,MAX(0,ROUND(ROUND(Долги!$D$19-SUM($AL303:$AU303),2)-(SUM($H303:H303)-SUM($AL303:AL303)),2)))</f>
        <v>0.0</v>
      </c>
      <c r="J303" s="31">
        <f>AN303+MIN(T302+AD303-AN303,MAX(0,ROUND(ROUND(Долги!$D$19-SUM($AL303:$AU303),2)-(SUM($H303:I303)-SUM($AL303:AM303)),2)))</f>
        <v>0.0</v>
      </c>
      <c r="K303" s="31">
        <f>AO303+MIN(U302+AE303-AO303,MAX(0,ROUND(ROUND(Долги!$D$19-SUM($AL303:$AU303),2)-(SUM($H303:J303)-SUM($AL303:AN303)),2)))</f>
        <v>0.0</v>
      </c>
      <c r="L303" s="31">
        <f>AP303+MIN(V302+AF303-AP303,MAX(0,ROUND(ROUND(Долги!$D$19-SUM($AL303:$AU303),2)-(SUM($H303:K303)-SUM($AL303:AO303)),2)))</f>
        <v>0.0</v>
      </c>
      <c r="M303" s="31">
        <f>AQ303+MIN(W302+AG303-AQ303,MAX(0,ROUND(ROUND(Долги!$D$19-SUM($AL303:$AU303),2)-(SUM($H303:L303)-SUM($AL303:AP303)),2)))</f>
        <v>0.0</v>
      </c>
      <c r="N303" s="31">
        <f>AR303+MIN(X302+AH303-AR303,MAX(0,ROUND(ROUND(Долги!$D$19-SUM($AL303:$AU303),2)-(SUM($H303:M303)-SUM($AL303:AQ303)),2)))</f>
        <v>0.0</v>
      </c>
      <c r="O303" s="31">
        <f>AS303+MIN(Y302+AI303-AS303,MAX(0,ROUND(ROUND(Долги!$D$19-SUM($AL303:$AU303),2)-(SUM($H303:N303)-SUM($AL303:AR303)),2)))</f>
        <v>0.0</v>
      </c>
      <c r="P303" s="31">
        <f>AT303+MIN(Z302+AJ303-AT303,MAX(0,ROUND(ROUND(Долги!$D$19-SUM($AL303:$AU303),2)-(SUM($H303:O303)-SUM($AL303:AS303)),2)))</f>
        <v>0.0</v>
      </c>
      <c r="Q303" s="31">
        <f>AU303+MIN(AA302+AK303-AU303,MAX(0,ROUND(ROUND(Долги!$D$19-SUM($AL303:$AU303),2)-(SUM($H303:P303)-SUM($AL303:AT303)),2)))</f>
        <v>0.0</v>
      </c>
      <c r="R303" s="31">
        <f>IF(R302+AB303-H303&lt;=0.01,0,ROUND(R302+AB303-H303,2))</f>
        <v>0.0</v>
      </c>
      <c r="S303" s="31">
        <f>IF(S302+AC303-I303&lt;=0.01,0,ROUND(S302+AC303-I303,2))</f>
        <v>0.0</v>
      </c>
      <c r="T303" s="31">
        <f>IF(T302+AD303-J303&lt;=0.01,0,ROUND(T302+AD303-J303,2))</f>
        <v>0.0</v>
      </c>
      <c r="U303" s="31">
        <f>IF(U302+AE303-K303&lt;=0.01,0,ROUND(U302+AE303-K303,2))</f>
        <v>0.0</v>
      </c>
      <c r="V303" s="31">
        <f>IF(V302+AF303-L303&lt;=0.01,0,ROUND(V302+AF303-L303,2))</f>
        <v>0.0</v>
      </c>
      <c r="W303" s="31">
        <f>IF(W302+AG303-M303&lt;=0.01,0,ROUND(W302+AG303-M303,2))</f>
        <v>0.0</v>
      </c>
      <c r="X303" s="31">
        <f>IF(X302+AH303-N303&lt;=0.01,0,ROUND(X302+AH303-N303,2))</f>
        <v>0.0</v>
      </c>
      <c r="Y303" s="31">
        <f>IF(Y302+AI303-O303&lt;=0.01,0,ROUND(Y302+AI303-O303,2))</f>
        <v>0.0</v>
      </c>
      <c r="Z303" s="31">
        <f>IF(Z302+AJ303-P303&lt;=0.01,0,ROUND(Z302+AJ303-P303,2))</f>
        <v>0.0</v>
      </c>
      <c r="AA303" s="31">
        <f>IF(AA302+AK303-Q303&lt;=0.01,0,ROUND(AA302+AK303-Q303,2))</f>
        <v>0.0</v>
      </c>
      <c r="AB303" s="31">
        <f>ROUND(R302*AB$5/1200,2)</f>
        <v>0.0</v>
      </c>
      <c r="AC303" s="31">
        <f>ROUND(S302*AC$5/1200,2)</f>
        <v>0.0</v>
      </c>
      <c r="AD303" s="31">
        <f>ROUND(T302*AD$5/1200,2)</f>
        <v>0.0</v>
      </c>
      <c r="AE303" s="31">
        <f>ROUND(U302*AE$5/1200,2)</f>
        <v>0.0</v>
      </c>
      <c r="AF303" s="31">
        <f>ROUND(V302*AF$5/1200,2)</f>
        <v>0.0</v>
      </c>
      <c r="AG303" s="31">
        <f>ROUND(W302*AG$5/1200,2)</f>
        <v>0.0</v>
      </c>
      <c r="AH303" s="31">
        <f>ROUND(X302*AH$5/1200,2)</f>
        <v>0.0</v>
      </c>
      <c r="AI303" s="31">
        <f>ROUND(Y302*AI$5/1200,2)</f>
        <v>0.0</v>
      </c>
      <c r="AJ303" s="31">
        <f>ROUND(Z302*AJ$5/1200,2)</f>
        <v>0.0</v>
      </c>
      <c r="AK303" s="31">
        <f>ROUND(AA302*AK$5/1200,2)</f>
        <v>0.0</v>
      </c>
      <c r="AL303" s="31">
        <f>MIN(AL$5,R302+AB303)</f>
        <v>0.0</v>
      </c>
      <c r="AM303" s="31">
        <f>MIN(AM$5,S302+AC303)</f>
        <v>0.0</v>
      </c>
      <c r="AN303" s="31">
        <f>MIN(AN$5,T302+AD303)</f>
        <v>0.0</v>
      </c>
      <c r="AO303" s="31">
        <f>MIN(AO$5,U302+AE303)</f>
        <v>0.0</v>
      </c>
      <c r="AP303" s="31">
        <f>MIN(AP$5,V302+AF303)</f>
        <v>0.0</v>
      </c>
      <c r="AQ303" s="31">
        <f>MIN(AQ$5,W302+AG303)</f>
        <v>0.0</v>
      </c>
      <c r="AR303" s="31">
        <f>MIN(AR$5,X302+AH303)</f>
        <v>0.0</v>
      </c>
      <c r="AS303" s="31">
        <f>MIN(AS$5,Y302+AI303)</f>
        <v>0.0</v>
      </c>
      <c r="AT303" s="31">
        <f>MIN(AT$5,Z302+AJ303)</f>
        <v>0.0</v>
      </c>
      <c r="AU303" s="31">
        <f>MIN(AU$5,AA302+AK303)</f>
        <v>0.0</v>
      </c>
    </row>
    <row r="304">
      <c r="A304" s="25" t="str">
        <f>IF(F303&gt;0.005,299,"")</f>
        <v/>
      </c>
      <c r="B304" s="33" t="str">
        <f>IF(A304="","",EDATE(Долги!$D$5,298))</f>
        <v/>
      </c>
      <c r="C304" s="31">
        <f>SUM(H304:Q304)</f>
        <v>0.0</v>
      </c>
      <c r="D304" s="31">
        <f>SUM(AB304:AK304)</f>
        <v>0.0</v>
      </c>
      <c r="E304" s="31">
        <f>C304-D304</f>
        <v>0.0</v>
      </c>
      <c r="F304" s="31">
        <f>SUM(R304:AA304)</f>
        <v>0.0</v>
      </c>
      <c r="G304" s="34" t="str">
        <f>IF(OR(A304="",$F$5&lt;=0),"",REPT("█",ROUND(20*F304/$F$5,0)))</f>
        <v/>
      </c>
      <c r="H304" s="31">
        <f>AL304+MIN(R303+AB304-AL304,MAX(0,ROUND(Долги!$D$19-SUM($AL304:$AU304),2)))</f>
        <v>0.0</v>
      </c>
      <c r="I304" s="31">
        <f>AM304+MIN(S303+AC304-AM304,MAX(0,ROUND(ROUND(Долги!$D$19-SUM($AL304:$AU304),2)-(SUM($H304:H304)-SUM($AL304:AL304)),2)))</f>
        <v>0.0</v>
      </c>
      <c r="J304" s="31">
        <f>AN304+MIN(T303+AD304-AN304,MAX(0,ROUND(ROUND(Долги!$D$19-SUM($AL304:$AU304),2)-(SUM($H304:I304)-SUM($AL304:AM304)),2)))</f>
        <v>0.0</v>
      </c>
      <c r="K304" s="31">
        <f>AO304+MIN(U303+AE304-AO304,MAX(0,ROUND(ROUND(Долги!$D$19-SUM($AL304:$AU304),2)-(SUM($H304:J304)-SUM($AL304:AN304)),2)))</f>
        <v>0.0</v>
      </c>
      <c r="L304" s="31">
        <f>AP304+MIN(V303+AF304-AP304,MAX(0,ROUND(ROUND(Долги!$D$19-SUM($AL304:$AU304),2)-(SUM($H304:K304)-SUM($AL304:AO304)),2)))</f>
        <v>0.0</v>
      </c>
      <c r="M304" s="31">
        <f>AQ304+MIN(W303+AG304-AQ304,MAX(0,ROUND(ROUND(Долги!$D$19-SUM($AL304:$AU304),2)-(SUM($H304:L304)-SUM($AL304:AP304)),2)))</f>
        <v>0.0</v>
      </c>
      <c r="N304" s="31">
        <f>AR304+MIN(X303+AH304-AR304,MAX(0,ROUND(ROUND(Долги!$D$19-SUM($AL304:$AU304),2)-(SUM($H304:M304)-SUM($AL304:AQ304)),2)))</f>
        <v>0.0</v>
      </c>
      <c r="O304" s="31">
        <f>AS304+MIN(Y303+AI304-AS304,MAX(0,ROUND(ROUND(Долги!$D$19-SUM($AL304:$AU304),2)-(SUM($H304:N304)-SUM($AL304:AR304)),2)))</f>
        <v>0.0</v>
      </c>
      <c r="P304" s="31">
        <f>AT304+MIN(Z303+AJ304-AT304,MAX(0,ROUND(ROUND(Долги!$D$19-SUM($AL304:$AU304),2)-(SUM($H304:O304)-SUM($AL304:AS304)),2)))</f>
        <v>0.0</v>
      </c>
      <c r="Q304" s="31">
        <f>AU304+MIN(AA303+AK304-AU304,MAX(0,ROUND(ROUND(Долги!$D$19-SUM($AL304:$AU304),2)-(SUM($H304:P304)-SUM($AL304:AT304)),2)))</f>
        <v>0.0</v>
      </c>
      <c r="R304" s="31">
        <f>IF(R303+AB304-H304&lt;=0.01,0,ROUND(R303+AB304-H304,2))</f>
        <v>0.0</v>
      </c>
      <c r="S304" s="31">
        <f>IF(S303+AC304-I304&lt;=0.01,0,ROUND(S303+AC304-I304,2))</f>
        <v>0.0</v>
      </c>
      <c r="T304" s="31">
        <f>IF(T303+AD304-J304&lt;=0.01,0,ROUND(T303+AD304-J304,2))</f>
        <v>0.0</v>
      </c>
      <c r="U304" s="31">
        <f>IF(U303+AE304-K304&lt;=0.01,0,ROUND(U303+AE304-K304,2))</f>
        <v>0.0</v>
      </c>
      <c r="V304" s="31">
        <f>IF(V303+AF304-L304&lt;=0.01,0,ROUND(V303+AF304-L304,2))</f>
        <v>0.0</v>
      </c>
      <c r="W304" s="31">
        <f>IF(W303+AG304-M304&lt;=0.01,0,ROUND(W303+AG304-M304,2))</f>
        <v>0.0</v>
      </c>
      <c r="X304" s="31">
        <f>IF(X303+AH304-N304&lt;=0.01,0,ROUND(X303+AH304-N304,2))</f>
        <v>0.0</v>
      </c>
      <c r="Y304" s="31">
        <f>IF(Y303+AI304-O304&lt;=0.01,0,ROUND(Y303+AI304-O304,2))</f>
        <v>0.0</v>
      </c>
      <c r="Z304" s="31">
        <f>IF(Z303+AJ304-P304&lt;=0.01,0,ROUND(Z303+AJ304-P304,2))</f>
        <v>0.0</v>
      </c>
      <c r="AA304" s="31">
        <f>IF(AA303+AK304-Q304&lt;=0.01,0,ROUND(AA303+AK304-Q304,2))</f>
        <v>0.0</v>
      </c>
      <c r="AB304" s="31">
        <f>ROUND(R303*AB$5/1200,2)</f>
        <v>0.0</v>
      </c>
      <c r="AC304" s="31">
        <f>ROUND(S303*AC$5/1200,2)</f>
        <v>0.0</v>
      </c>
      <c r="AD304" s="31">
        <f>ROUND(T303*AD$5/1200,2)</f>
        <v>0.0</v>
      </c>
      <c r="AE304" s="31">
        <f>ROUND(U303*AE$5/1200,2)</f>
        <v>0.0</v>
      </c>
      <c r="AF304" s="31">
        <f>ROUND(V303*AF$5/1200,2)</f>
        <v>0.0</v>
      </c>
      <c r="AG304" s="31">
        <f>ROUND(W303*AG$5/1200,2)</f>
        <v>0.0</v>
      </c>
      <c r="AH304" s="31">
        <f>ROUND(X303*AH$5/1200,2)</f>
        <v>0.0</v>
      </c>
      <c r="AI304" s="31">
        <f>ROUND(Y303*AI$5/1200,2)</f>
        <v>0.0</v>
      </c>
      <c r="AJ304" s="31">
        <f>ROUND(Z303*AJ$5/1200,2)</f>
        <v>0.0</v>
      </c>
      <c r="AK304" s="31">
        <f>ROUND(AA303*AK$5/1200,2)</f>
        <v>0.0</v>
      </c>
      <c r="AL304" s="31">
        <f>MIN(AL$5,R303+AB304)</f>
        <v>0.0</v>
      </c>
      <c r="AM304" s="31">
        <f>MIN(AM$5,S303+AC304)</f>
        <v>0.0</v>
      </c>
      <c r="AN304" s="31">
        <f>MIN(AN$5,T303+AD304)</f>
        <v>0.0</v>
      </c>
      <c r="AO304" s="31">
        <f>MIN(AO$5,U303+AE304)</f>
        <v>0.0</v>
      </c>
      <c r="AP304" s="31">
        <f>MIN(AP$5,V303+AF304)</f>
        <v>0.0</v>
      </c>
      <c r="AQ304" s="31">
        <f>MIN(AQ$5,W303+AG304)</f>
        <v>0.0</v>
      </c>
      <c r="AR304" s="31">
        <f>MIN(AR$5,X303+AH304)</f>
        <v>0.0</v>
      </c>
      <c r="AS304" s="31">
        <f>MIN(AS$5,Y303+AI304)</f>
        <v>0.0</v>
      </c>
      <c r="AT304" s="31">
        <f>MIN(AT$5,Z303+AJ304)</f>
        <v>0.0</v>
      </c>
      <c r="AU304" s="31">
        <f>MIN(AU$5,AA303+AK304)</f>
        <v>0.0</v>
      </c>
    </row>
    <row r="305">
      <c r="A305" s="25" t="str">
        <f>IF(F304&gt;0.005,300,"")</f>
        <v/>
      </c>
      <c r="B305" s="33" t="str">
        <f>IF(A305="","",EDATE(Долги!$D$5,299))</f>
        <v/>
      </c>
      <c r="C305" s="31">
        <f>SUM(H305:Q305)</f>
        <v>0.0</v>
      </c>
      <c r="D305" s="31">
        <f>SUM(AB305:AK305)</f>
        <v>0.0</v>
      </c>
      <c r="E305" s="31">
        <f>C305-D305</f>
        <v>0.0</v>
      </c>
      <c r="F305" s="31">
        <f>SUM(R305:AA305)</f>
        <v>0.0</v>
      </c>
      <c r="G305" s="34" t="str">
        <f>IF(OR(A305="",$F$5&lt;=0),"",REPT("█",ROUND(20*F305/$F$5,0)))</f>
        <v/>
      </c>
      <c r="H305" s="31">
        <f>AL305+MIN(R304+AB305-AL305,MAX(0,ROUND(Долги!$D$19-SUM($AL305:$AU305),2)))</f>
        <v>0.0</v>
      </c>
      <c r="I305" s="31">
        <f>AM305+MIN(S304+AC305-AM305,MAX(0,ROUND(ROUND(Долги!$D$19-SUM($AL305:$AU305),2)-(SUM($H305:H305)-SUM($AL305:AL305)),2)))</f>
        <v>0.0</v>
      </c>
      <c r="J305" s="31">
        <f>AN305+MIN(T304+AD305-AN305,MAX(0,ROUND(ROUND(Долги!$D$19-SUM($AL305:$AU305),2)-(SUM($H305:I305)-SUM($AL305:AM305)),2)))</f>
        <v>0.0</v>
      </c>
      <c r="K305" s="31">
        <f>AO305+MIN(U304+AE305-AO305,MAX(0,ROUND(ROUND(Долги!$D$19-SUM($AL305:$AU305),2)-(SUM($H305:J305)-SUM($AL305:AN305)),2)))</f>
        <v>0.0</v>
      </c>
      <c r="L305" s="31">
        <f>AP305+MIN(V304+AF305-AP305,MAX(0,ROUND(ROUND(Долги!$D$19-SUM($AL305:$AU305),2)-(SUM($H305:K305)-SUM($AL305:AO305)),2)))</f>
        <v>0.0</v>
      </c>
      <c r="M305" s="31">
        <f>AQ305+MIN(W304+AG305-AQ305,MAX(0,ROUND(ROUND(Долги!$D$19-SUM($AL305:$AU305),2)-(SUM($H305:L305)-SUM($AL305:AP305)),2)))</f>
        <v>0.0</v>
      </c>
      <c r="N305" s="31">
        <f>AR305+MIN(X304+AH305-AR305,MAX(0,ROUND(ROUND(Долги!$D$19-SUM($AL305:$AU305),2)-(SUM($H305:M305)-SUM($AL305:AQ305)),2)))</f>
        <v>0.0</v>
      </c>
      <c r="O305" s="31">
        <f>AS305+MIN(Y304+AI305-AS305,MAX(0,ROUND(ROUND(Долги!$D$19-SUM($AL305:$AU305),2)-(SUM($H305:N305)-SUM($AL305:AR305)),2)))</f>
        <v>0.0</v>
      </c>
      <c r="P305" s="31">
        <f>AT305+MIN(Z304+AJ305-AT305,MAX(0,ROUND(ROUND(Долги!$D$19-SUM($AL305:$AU305),2)-(SUM($H305:O305)-SUM($AL305:AS305)),2)))</f>
        <v>0.0</v>
      </c>
      <c r="Q305" s="31">
        <f>AU305+MIN(AA304+AK305-AU305,MAX(0,ROUND(ROUND(Долги!$D$19-SUM($AL305:$AU305),2)-(SUM($H305:P305)-SUM($AL305:AT305)),2)))</f>
        <v>0.0</v>
      </c>
      <c r="R305" s="31">
        <f>IF(R304+AB305-H305&lt;=0.01,0,ROUND(R304+AB305-H305,2))</f>
        <v>0.0</v>
      </c>
      <c r="S305" s="31">
        <f>IF(S304+AC305-I305&lt;=0.01,0,ROUND(S304+AC305-I305,2))</f>
        <v>0.0</v>
      </c>
      <c r="T305" s="31">
        <f>IF(T304+AD305-J305&lt;=0.01,0,ROUND(T304+AD305-J305,2))</f>
        <v>0.0</v>
      </c>
      <c r="U305" s="31">
        <f>IF(U304+AE305-K305&lt;=0.01,0,ROUND(U304+AE305-K305,2))</f>
        <v>0.0</v>
      </c>
      <c r="V305" s="31">
        <f>IF(V304+AF305-L305&lt;=0.01,0,ROUND(V304+AF305-L305,2))</f>
        <v>0.0</v>
      </c>
      <c r="W305" s="31">
        <f>IF(W304+AG305-M305&lt;=0.01,0,ROUND(W304+AG305-M305,2))</f>
        <v>0.0</v>
      </c>
      <c r="X305" s="31">
        <f>IF(X304+AH305-N305&lt;=0.01,0,ROUND(X304+AH305-N305,2))</f>
        <v>0.0</v>
      </c>
      <c r="Y305" s="31">
        <f>IF(Y304+AI305-O305&lt;=0.01,0,ROUND(Y304+AI305-O305,2))</f>
        <v>0.0</v>
      </c>
      <c r="Z305" s="31">
        <f>IF(Z304+AJ305-P305&lt;=0.01,0,ROUND(Z304+AJ305-P305,2))</f>
        <v>0.0</v>
      </c>
      <c r="AA305" s="31">
        <f>IF(AA304+AK305-Q305&lt;=0.01,0,ROUND(AA304+AK305-Q305,2))</f>
        <v>0.0</v>
      </c>
      <c r="AB305" s="31">
        <f>ROUND(R304*AB$5/1200,2)</f>
        <v>0.0</v>
      </c>
      <c r="AC305" s="31">
        <f>ROUND(S304*AC$5/1200,2)</f>
        <v>0.0</v>
      </c>
      <c r="AD305" s="31">
        <f>ROUND(T304*AD$5/1200,2)</f>
        <v>0.0</v>
      </c>
      <c r="AE305" s="31">
        <f>ROUND(U304*AE$5/1200,2)</f>
        <v>0.0</v>
      </c>
      <c r="AF305" s="31">
        <f>ROUND(V304*AF$5/1200,2)</f>
        <v>0.0</v>
      </c>
      <c r="AG305" s="31">
        <f>ROUND(W304*AG$5/1200,2)</f>
        <v>0.0</v>
      </c>
      <c r="AH305" s="31">
        <f>ROUND(X304*AH$5/1200,2)</f>
        <v>0.0</v>
      </c>
      <c r="AI305" s="31">
        <f>ROUND(Y304*AI$5/1200,2)</f>
        <v>0.0</v>
      </c>
      <c r="AJ305" s="31">
        <f>ROUND(Z304*AJ$5/1200,2)</f>
        <v>0.0</v>
      </c>
      <c r="AK305" s="31">
        <f>ROUND(AA304*AK$5/1200,2)</f>
        <v>0.0</v>
      </c>
      <c r="AL305" s="31">
        <f>MIN(AL$5,R304+AB305)</f>
        <v>0.0</v>
      </c>
      <c r="AM305" s="31">
        <f>MIN(AM$5,S304+AC305)</f>
        <v>0.0</v>
      </c>
      <c r="AN305" s="31">
        <f>MIN(AN$5,T304+AD305)</f>
        <v>0.0</v>
      </c>
      <c r="AO305" s="31">
        <f>MIN(AO$5,U304+AE305)</f>
        <v>0.0</v>
      </c>
      <c r="AP305" s="31">
        <f>MIN(AP$5,V304+AF305)</f>
        <v>0.0</v>
      </c>
      <c r="AQ305" s="31">
        <f>MIN(AQ$5,W304+AG305)</f>
        <v>0.0</v>
      </c>
      <c r="AR305" s="31">
        <f>MIN(AR$5,X304+AH305)</f>
        <v>0.0</v>
      </c>
      <c r="AS305" s="31">
        <f>MIN(AS$5,Y304+AI305)</f>
        <v>0.0</v>
      </c>
      <c r="AT305" s="31">
        <f>MIN(AT$5,Z304+AJ305)</f>
        <v>0.0</v>
      </c>
      <c r="AU305" s="31">
        <f>MIN(AU$5,AA304+AK305)</f>
        <v>0.0</v>
      </c>
    </row>
    <row r="306">
      <c r="A306" s="25" t="str">
        <f>IF(F305&gt;0.005,301,"")</f>
        <v/>
      </c>
      <c r="B306" s="33" t="str">
        <f>IF(A306="","",EDATE(Долги!$D$5,300))</f>
        <v/>
      </c>
      <c r="C306" s="31">
        <f>SUM(H306:Q306)</f>
        <v>0.0</v>
      </c>
      <c r="D306" s="31">
        <f>SUM(AB306:AK306)</f>
        <v>0.0</v>
      </c>
      <c r="E306" s="31">
        <f>C306-D306</f>
        <v>0.0</v>
      </c>
      <c r="F306" s="31">
        <f>SUM(R306:AA306)</f>
        <v>0.0</v>
      </c>
      <c r="G306" s="34" t="str">
        <f>IF(OR(A306="",$F$5&lt;=0),"",REPT("█",ROUND(20*F306/$F$5,0)))</f>
        <v/>
      </c>
      <c r="H306" s="31">
        <f>AL306+MIN(R305+AB306-AL306,MAX(0,ROUND(Долги!$D$19-SUM($AL306:$AU306),2)))</f>
        <v>0.0</v>
      </c>
      <c r="I306" s="31">
        <f>AM306+MIN(S305+AC306-AM306,MAX(0,ROUND(ROUND(Долги!$D$19-SUM($AL306:$AU306),2)-(SUM($H306:H306)-SUM($AL306:AL306)),2)))</f>
        <v>0.0</v>
      </c>
      <c r="J306" s="31">
        <f>AN306+MIN(T305+AD306-AN306,MAX(0,ROUND(ROUND(Долги!$D$19-SUM($AL306:$AU306),2)-(SUM($H306:I306)-SUM($AL306:AM306)),2)))</f>
        <v>0.0</v>
      </c>
      <c r="K306" s="31">
        <f>AO306+MIN(U305+AE306-AO306,MAX(0,ROUND(ROUND(Долги!$D$19-SUM($AL306:$AU306),2)-(SUM($H306:J306)-SUM($AL306:AN306)),2)))</f>
        <v>0.0</v>
      </c>
      <c r="L306" s="31">
        <f>AP306+MIN(V305+AF306-AP306,MAX(0,ROUND(ROUND(Долги!$D$19-SUM($AL306:$AU306),2)-(SUM($H306:K306)-SUM($AL306:AO306)),2)))</f>
        <v>0.0</v>
      </c>
      <c r="M306" s="31">
        <f>AQ306+MIN(W305+AG306-AQ306,MAX(0,ROUND(ROUND(Долги!$D$19-SUM($AL306:$AU306),2)-(SUM($H306:L306)-SUM($AL306:AP306)),2)))</f>
        <v>0.0</v>
      </c>
      <c r="N306" s="31">
        <f>AR306+MIN(X305+AH306-AR306,MAX(0,ROUND(ROUND(Долги!$D$19-SUM($AL306:$AU306),2)-(SUM($H306:M306)-SUM($AL306:AQ306)),2)))</f>
        <v>0.0</v>
      </c>
      <c r="O306" s="31">
        <f>AS306+MIN(Y305+AI306-AS306,MAX(0,ROUND(ROUND(Долги!$D$19-SUM($AL306:$AU306),2)-(SUM($H306:N306)-SUM($AL306:AR306)),2)))</f>
        <v>0.0</v>
      </c>
      <c r="P306" s="31">
        <f>AT306+MIN(Z305+AJ306-AT306,MAX(0,ROUND(ROUND(Долги!$D$19-SUM($AL306:$AU306),2)-(SUM($H306:O306)-SUM($AL306:AS306)),2)))</f>
        <v>0.0</v>
      </c>
      <c r="Q306" s="31">
        <f>AU306+MIN(AA305+AK306-AU306,MAX(0,ROUND(ROUND(Долги!$D$19-SUM($AL306:$AU306),2)-(SUM($H306:P306)-SUM($AL306:AT306)),2)))</f>
        <v>0.0</v>
      </c>
      <c r="R306" s="31">
        <f>IF(R305+AB306-H306&lt;=0.01,0,ROUND(R305+AB306-H306,2))</f>
        <v>0.0</v>
      </c>
      <c r="S306" s="31">
        <f>IF(S305+AC306-I306&lt;=0.01,0,ROUND(S305+AC306-I306,2))</f>
        <v>0.0</v>
      </c>
      <c r="T306" s="31">
        <f>IF(T305+AD306-J306&lt;=0.01,0,ROUND(T305+AD306-J306,2))</f>
        <v>0.0</v>
      </c>
      <c r="U306" s="31">
        <f>IF(U305+AE306-K306&lt;=0.01,0,ROUND(U305+AE306-K306,2))</f>
        <v>0.0</v>
      </c>
      <c r="V306" s="31">
        <f>IF(V305+AF306-L306&lt;=0.01,0,ROUND(V305+AF306-L306,2))</f>
        <v>0.0</v>
      </c>
      <c r="W306" s="31">
        <f>IF(W305+AG306-M306&lt;=0.01,0,ROUND(W305+AG306-M306,2))</f>
        <v>0.0</v>
      </c>
      <c r="X306" s="31">
        <f>IF(X305+AH306-N306&lt;=0.01,0,ROUND(X305+AH306-N306,2))</f>
        <v>0.0</v>
      </c>
      <c r="Y306" s="31">
        <f>IF(Y305+AI306-O306&lt;=0.01,0,ROUND(Y305+AI306-O306,2))</f>
        <v>0.0</v>
      </c>
      <c r="Z306" s="31">
        <f>IF(Z305+AJ306-P306&lt;=0.01,0,ROUND(Z305+AJ306-P306,2))</f>
        <v>0.0</v>
      </c>
      <c r="AA306" s="31">
        <f>IF(AA305+AK306-Q306&lt;=0.01,0,ROUND(AA305+AK306-Q306,2))</f>
        <v>0.0</v>
      </c>
      <c r="AB306" s="31">
        <f>ROUND(R305*AB$5/1200,2)</f>
        <v>0.0</v>
      </c>
      <c r="AC306" s="31">
        <f>ROUND(S305*AC$5/1200,2)</f>
        <v>0.0</v>
      </c>
      <c r="AD306" s="31">
        <f>ROUND(T305*AD$5/1200,2)</f>
        <v>0.0</v>
      </c>
      <c r="AE306" s="31">
        <f>ROUND(U305*AE$5/1200,2)</f>
        <v>0.0</v>
      </c>
      <c r="AF306" s="31">
        <f>ROUND(V305*AF$5/1200,2)</f>
        <v>0.0</v>
      </c>
      <c r="AG306" s="31">
        <f>ROUND(W305*AG$5/1200,2)</f>
        <v>0.0</v>
      </c>
      <c r="AH306" s="31">
        <f>ROUND(X305*AH$5/1200,2)</f>
        <v>0.0</v>
      </c>
      <c r="AI306" s="31">
        <f>ROUND(Y305*AI$5/1200,2)</f>
        <v>0.0</v>
      </c>
      <c r="AJ306" s="31">
        <f>ROUND(Z305*AJ$5/1200,2)</f>
        <v>0.0</v>
      </c>
      <c r="AK306" s="31">
        <f>ROUND(AA305*AK$5/1200,2)</f>
        <v>0.0</v>
      </c>
      <c r="AL306" s="31">
        <f>MIN(AL$5,R305+AB306)</f>
        <v>0.0</v>
      </c>
      <c r="AM306" s="31">
        <f>MIN(AM$5,S305+AC306)</f>
        <v>0.0</v>
      </c>
      <c r="AN306" s="31">
        <f>MIN(AN$5,T305+AD306)</f>
        <v>0.0</v>
      </c>
      <c r="AO306" s="31">
        <f>MIN(AO$5,U305+AE306)</f>
        <v>0.0</v>
      </c>
      <c r="AP306" s="31">
        <f>MIN(AP$5,V305+AF306)</f>
        <v>0.0</v>
      </c>
      <c r="AQ306" s="31">
        <f>MIN(AQ$5,W305+AG306)</f>
        <v>0.0</v>
      </c>
      <c r="AR306" s="31">
        <f>MIN(AR$5,X305+AH306)</f>
        <v>0.0</v>
      </c>
      <c r="AS306" s="31">
        <f>MIN(AS$5,Y305+AI306)</f>
        <v>0.0</v>
      </c>
      <c r="AT306" s="31">
        <f>MIN(AT$5,Z305+AJ306)</f>
        <v>0.0</v>
      </c>
      <c r="AU306" s="31">
        <f>MIN(AU$5,AA305+AK306)</f>
        <v>0.0</v>
      </c>
    </row>
    <row r="307">
      <c r="A307" s="25" t="str">
        <f>IF(F306&gt;0.005,302,"")</f>
        <v/>
      </c>
      <c r="B307" s="33" t="str">
        <f>IF(A307="","",EDATE(Долги!$D$5,301))</f>
        <v/>
      </c>
      <c r="C307" s="31">
        <f>SUM(H307:Q307)</f>
        <v>0.0</v>
      </c>
      <c r="D307" s="31">
        <f>SUM(AB307:AK307)</f>
        <v>0.0</v>
      </c>
      <c r="E307" s="31">
        <f>C307-D307</f>
        <v>0.0</v>
      </c>
      <c r="F307" s="31">
        <f>SUM(R307:AA307)</f>
        <v>0.0</v>
      </c>
      <c r="G307" s="34" t="str">
        <f>IF(OR(A307="",$F$5&lt;=0),"",REPT("█",ROUND(20*F307/$F$5,0)))</f>
        <v/>
      </c>
      <c r="H307" s="31">
        <f>AL307+MIN(R306+AB307-AL307,MAX(0,ROUND(Долги!$D$19-SUM($AL307:$AU307),2)))</f>
        <v>0.0</v>
      </c>
      <c r="I307" s="31">
        <f>AM307+MIN(S306+AC307-AM307,MAX(0,ROUND(ROUND(Долги!$D$19-SUM($AL307:$AU307),2)-(SUM($H307:H307)-SUM($AL307:AL307)),2)))</f>
        <v>0.0</v>
      </c>
      <c r="J307" s="31">
        <f>AN307+MIN(T306+AD307-AN307,MAX(0,ROUND(ROUND(Долги!$D$19-SUM($AL307:$AU307),2)-(SUM($H307:I307)-SUM($AL307:AM307)),2)))</f>
        <v>0.0</v>
      </c>
      <c r="K307" s="31">
        <f>AO307+MIN(U306+AE307-AO307,MAX(0,ROUND(ROUND(Долги!$D$19-SUM($AL307:$AU307),2)-(SUM($H307:J307)-SUM($AL307:AN307)),2)))</f>
        <v>0.0</v>
      </c>
      <c r="L307" s="31">
        <f>AP307+MIN(V306+AF307-AP307,MAX(0,ROUND(ROUND(Долги!$D$19-SUM($AL307:$AU307),2)-(SUM($H307:K307)-SUM($AL307:AO307)),2)))</f>
        <v>0.0</v>
      </c>
      <c r="M307" s="31">
        <f>AQ307+MIN(W306+AG307-AQ307,MAX(0,ROUND(ROUND(Долги!$D$19-SUM($AL307:$AU307),2)-(SUM($H307:L307)-SUM($AL307:AP307)),2)))</f>
        <v>0.0</v>
      </c>
      <c r="N307" s="31">
        <f>AR307+MIN(X306+AH307-AR307,MAX(0,ROUND(ROUND(Долги!$D$19-SUM($AL307:$AU307),2)-(SUM($H307:M307)-SUM($AL307:AQ307)),2)))</f>
        <v>0.0</v>
      </c>
      <c r="O307" s="31">
        <f>AS307+MIN(Y306+AI307-AS307,MAX(0,ROUND(ROUND(Долги!$D$19-SUM($AL307:$AU307),2)-(SUM($H307:N307)-SUM($AL307:AR307)),2)))</f>
        <v>0.0</v>
      </c>
      <c r="P307" s="31">
        <f>AT307+MIN(Z306+AJ307-AT307,MAX(0,ROUND(ROUND(Долги!$D$19-SUM($AL307:$AU307),2)-(SUM($H307:O307)-SUM($AL307:AS307)),2)))</f>
        <v>0.0</v>
      </c>
      <c r="Q307" s="31">
        <f>AU307+MIN(AA306+AK307-AU307,MAX(0,ROUND(ROUND(Долги!$D$19-SUM($AL307:$AU307),2)-(SUM($H307:P307)-SUM($AL307:AT307)),2)))</f>
        <v>0.0</v>
      </c>
      <c r="R307" s="31">
        <f>IF(R306+AB307-H307&lt;=0.01,0,ROUND(R306+AB307-H307,2))</f>
        <v>0.0</v>
      </c>
      <c r="S307" s="31">
        <f>IF(S306+AC307-I307&lt;=0.01,0,ROUND(S306+AC307-I307,2))</f>
        <v>0.0</v>
      </c>
      <c r="T307" s="31">
        <f>IF(T306+AD307-J307&lt;=0.01,0,ROUND(T306+AD307-J307,2))</f>
        <v>0.0</v>
      </c>
      <c r="U307" s="31">
        <f>IF(U306+AE307-K307&lt;=0.01,0,ROUND(U306+AE307-K307,2))</f>
        <v>0.0</v>
      </c>
      <c r="V307" s="31">
        <f>IF(V306+AF307-L307&lt;=0.01,0,ROUND(V306+AF307-L307,2))</f>
        <v>0.0</v>
      </c>
      <c r="W307" s="31">
        <f>IF(W306+AG307-M307&lt;=0.01,0,ROUND(W306+AG307-M307,2))</f>
        <v>0.0</v>
      </c>
      <c r="X307" s="31">
        <f>IF(X306+AH307-N307&lt;=0.01,0,ROUND(X306+AH307-N307,2))</f>
        <v>0.0</v>
      </c>
      <c r="Y307" s="31">
        <f>IF(Y306+AI307-O307&lt;=0.01,0,ROUND(Y306+AI307-O307,2))</f>
        <v>0.0</v>
      </c>
      <c r="Z307" s="31">
        <f>IF(Z306+AJ307-P307&lt;=0.01,0,ROUND(Z306+AJ307-P307,2))</f>
        <v>0.0</v>
      </c>
      <c r="AA307" s="31">
        <f>IF(AA306+AK307-Q307&lt;=0.01,0,ROUND(AA306+AK307-Q307,2))</f>
        <v>0.0</v>
      </c>
      <c r="AB307" s="31">
        <f>ROUND(R306*AB$5/1200,2)</f>
        <v>0.0</v>
      </c>
      <c r="AC307" s="31">
        <f>ROUND(S306*AC$5/1200,2)</f>
        <v>0.0</v>
      </c>
      <c r="AD307" s="31">
        <f>ROUND(T306*AD$5/1200,2)</f>
        <v>0.0</v>
      </c>
      <c r="AE307" s="31">
        <f>ROUND(U306*AE$5/1200,2)</f>
        <v>0.0</v>
      </c>
      <c r="AF307" s="31">
        <f>ROUND(V306*AF$5/1200,2)</f>
        <v>0.0</v>
      </c>
      <c r="AG307" s="31">
        <f>ROUND(W306*AG$5/1200,2)</f>
        <v>0.0</v>
      </c>
      <c r="AH307" s="31">
        <f>ROUND(X306*AH$5/1200,2)</f>
        <v>0.0</v>
      </c>
      <c r="AI307" s="31">
        <f>ROUND(Y306*AI$5/1200,2)</f>
        <v>0.0</v>
      </c>
      <c r="AJ307" s="31">
        <f>ROUND(Z306*AJ$5/1200,2)</f>
        <v>0.0</v>
      </c>
      <c r="AK307" s="31">
        <f>ROUND(AA306*AK$5/1200,2)</f>
        <v>0.0</v>
      </c>
      <c r="AL307" s="31">
        <f>MIN(AL$5,R306+AB307)</f>
        <v>0.0</v>
      </c>
      <c r="AM307" s="31">
        <f>MIN(AM$5,S306+AC307)</f>
        <v>0.0</v>
      </c>
      <c r="AN307" s="31">
        <f>MIN(AN$5,T306+AD307)</f>
        <v>0.0</v>
      </c>
      <c r="AO307" s="31">
        <f>MIN(AO$5,U306+AE307)</f>
        <v>0.0</v>
      </c>
      <c r="AP307" s="31">
        <f>MIN(AP$5,V306+AF307)</f>
        <v>0.0</v>
      </c>
      <c r="AQ307" s="31">
        <f>MIN(AQ$5,W306+AG307)</f>
        <v>0.0</v>
      </c>
      <c r="AR307" s="31">
        <f>MIN(AR$5,X306+AH307)</f>
        <v>0.0</v>
      </c>
      <c r="AS307" s="31">
        <f>MIN(AS$5,Y306+AI307)</f>
        <v>0.0</v>
      </c>
      <c r="AT307" s="31">
        <f>MIN(AT$5,Z306+AJ307)</f>
        <v>0.0</v>
      </c>
      <c r="AU307" s="31">
        <f>MIN(AU$5,AA306+AK307)</f>
        <v>0.0</v>
      </c>
    </row>
    <row r="308">
      <c r="A308" s="25" t="str">
        <f>IF(F307&gt;0.005,303,"")</f>
        <v/>
      </c>
      <c r="B308" s="33" t="str">
        <f>IF(A308="","",EDATE(Долги!$D$5,302))</f>
        <v/>
      </c>
      <c r="C308" s="31">
        <f>SUM(H308:Q308)</f>
        <v>0.0</v>
      </c>
      <c r="D308" s="31">
        <f>SUM(AB308:AK308)</f>
        <v>0.0</v>
      </c>
      <c r="E308" s="31">
        <f>C308-D308</f>
        <v>0.0</v>
      </c>
      <c r="F308" s="31">
        <f>SUM(R308:AA308)</f>
        <v>0.0</v>
      </c>
      <c r="G308" s="34" t="str">
        <f>IF(OR(A308="",$F$5&lt;=0),"",REPT("█",ROUND(20*F308/$F$5,0)))</f>
        <v/>
      </c>
      <c r="H308" s="31">
        <f>AL308+MIN(R307+AB308-AL308,MAX(0,ROUND(Долги!$D$19-SUM($AL308:$AU308),2)))</f>
        <v>0.0</v>
      </c>
      <c r="I308" s="31">
        <f>AM308+MIN(S307+AC308-AM308,MAX(0,ROUND(ROUND(Долги!$D$19-SUM($AL308:$AU308),2)-(SUM($H308:H308)-SUM($AL308:AL308)),2)))</f>
        <v>0.0</v>
      </c>
      <c r="J308" s="31">
        <f>AN308+MIN(T307+AD308-AN308,MAX(0,ROUND(ROUND(Долги!$D$19-SUM($AL308:$AU308),2)-(SUM($H308:I308)-SUM($AL308:AM308)),2)))</f>
        <v>0.0</v>
      </c>
      <c r="K308" s="31">
        <f>AO308+MIN(U307+AE308-AO308,MAX(0,ROUND(ROUND(Долги!$D$19-SUM($AL308:$AU308),2)-(SUM($H308:J308)-SUM($AL308:AN308)),2)))</f>
        <v>0.0</v>
      </c>
      <c r="L308" s="31">
        <f>AP308+MIN(V307+AF308-AP308,MAX(0,ROUND(ROUND(Долги!$D$19-SUM($AL308:$AU308),2)-(SUM($H308:K308)-SUM($AL308:AO308)),2)))</f>
        <v>0.0</v>
      </c>
      <c r="M308" s="31">
        <f>AQ308+MIN(W307+AG308-AQ308,MAX(0,ROUND(ROUND(Долги!$D$19-SUM($AL308:$AU308),2)-(SUM($H308:L308)-SUM($AL308:AP308)),2)))</f>
        <v>0.0</v>
      </c>
      <c r="N308" s="31">
        <f>AR308+MIN(X307+AH308-AR308,MAX(0,ROUND(ROUND(Долги!$D$19-SUM($AL308:$AU308),2)-(SUM($H308:M308)-SUM($AL308:AQ308)),2)))</f>
        <v>0.0</v>
      </c>
      <c r="O308" s="31">
        <f>AS308+MIN(Y307+AI308-AS308,MAX(0,ROUND(ROUND(Долги!$D$19-SUM($AL308:$AU308),2)-(SUM($H308:N308)-SUM($AL308:AR308)),2)))</f>
        <v>0.0</v>
      </c>
      <c r="P308" s="31">
        <f>AT308+MIN(Z307+AJ308-AT308,MAX(0,ROUND(ROUND(Долги!$D$19-SUM($AL308:$AU308),2)-(SUM($H308:O308)-SUM($AL308:AS308)),2)))</f>
        <v>0.0</v>
      </c>
      <c r="Q308" s="31">
        <f>AU308+MIN(AA307+AK308-AU308,MAX(0,ROUND(ROUND(Долги!$D$19-SUM($AL308:$AU308),2)-(SUM($H308:P308)-SUM($AL308:AT308)),2)))</f>
        <v>0.0</v>
      </c>
      <c r="R308" s="31">
        <f>IF(R307+AB308-H308&lt;=0.01,0,ROUND(R307+AB308-H308,2))</f>
        <v>0.0</v>
      </c>
      <c r="S308" s="31">
        <f>IF(S307+AC308-I308&lt;=0.01,0,ROUND(S307+AC308-I308,2))</f>
        <v>0.0</v>
      </c>
      <c r="T308" s="31">
        <f>IF(T307+AD308-J308&lt;=0.01,0,ROUND(T307+AD308-J308,2))</f>
        <v>0.0</v>
      </c>
      <c r="U308" s="31">
        <f>IF(U307+AE308-K308&lt;=0.01,0,ROUND(U307+AE308-K308,2))</f>
        <v>0.0</v>
      </c>
      <c r="V308" s="31">
        <f>IF(V307+AF308-L308&lt;=0.01,0,ROUND(V307+AF308-L308,2))</f>
        <v>0.0</v>
      </c>
      <c r="W308" s="31">
        <f>IF(W307+AG308-M308&lt;=0.01,0,ROUND(W307+AG308-M308,2))</f>
        <v>0.0</v>
      </c>
      <c r="X308" s="31">
        <f>IF(X307+AH308-N308&lt;=0.01,0,ROUND(X307+AH308-N308,2))</f>
        <v>0.0</v>
      </c>
      <c r="Y308" s="31">
        <f>IF(Y307+AI308-O308&lt;=0.01,0,ROUND(Y307+AI308-O308,2))</f>
        <v>0.0</v>
      </c>
      <c r="Z308" s="31">
        <f>IF(Z307+AJ308-P308&lt;=0.01,0,ROUND(Z307+AJ308-P308,2))</f>
        <v>0.0</v>
      </c>
      <c r="AA308" s="31">
        <f>IF(AA307+AK308-Q308&lt;=0.01,0,ROUND(AA307+AK308-Q308,2))</f>
        <v>0.0</v>
      </c>
      <c r="AB308" s="31">
        <f>ROUND(R307*AB$5/1200,2)</f>
        <v>0.0</v>
      </c>
      <c r="AC308" s="31">
        <f>ROUND(S307*AC$5/1200,2)</f>
        <v>0.0</v>
      </c>
      <c r="AD308" s="31">
        <f>ROUND(T307*AD$5/1200,2)</f>
        <v>0.0</v>
      </c>
      <c r="AE308" s="31">
        <f>ROUND(U307*AE$5/1200,2)</f>
        <v>0.0</v>
      </c>
      <c r="AF308" s="31">
        <f>ROUND(V307*AF$5/1200,2)</f>
        <v>0.0</v>
      </c>
      <c r="AG308" s="31">
        <f>ROUND(W307*AG$5/1200,2)</f>
        <v>0.0</v>
      </c>
      <c r="AH308" s="31">
        <f>ROUND(X307*AH$5/1200,2)</f>
        <v>0.0</v>
      </c>
      <c r="AI308" s="31">
        <f>ROUND(Y307*AI$5/1200,2)</f>
        <v>0.0</v>
      </c>
      <c r="AJ308" s="31">
        <f>ROUND(Z307*AJ$5/1200,2)</f>
        <v>0.0</v>
      </c>
      <c r="AK308" s="31">
        <f>ROUND(AA307*AK$5/1200,2)</f>
        <v>0.0</v>
      </c>
      <c r="AL308" s="31">
        <f>MIN(AL$5,R307+AB308)</f>
        <v>0.0</v>
      </c>
      <c r="AM308" s="31">
        <f>MIN(AM$5,S307+AC308)</f>
        <v>0.0</v>
      </c>
      <c r="AN308" s="31">
        <f>MIN(AN$5,T307+AD308)</f>
        <v>0.0</v>
      </c>
      <c r="AO308" s="31">
        <f>MIN(AO$5,U307+AE308)</f>
        <v>0.0</v>
      </c>
      <c r="AP308" s="31">
        <f>MIN(AP$5,V307+AF308)</f>
        <v>0.0</v>
      </c>
      <c r="AQ308" s="31">
        <f>MIN(AQ$5,W307+AG308)</f>
        <v>0.0</v>
      </c>
      <c r="AR308" s="31">
        <f>MIN(AR$5,X307+AH308)</f>
        <v>0.0</v>
      </c>
      <c r="AS308" s="31">
        <f>MIN(AS$5,Y307+AI308)</f>
        <v>0.0</v>
      </c>
      <c r="AT308" s="31">
        <f>MIN(AT$5,Z307+AJ308)</f>
        <v>0.0</v>
      </c>
      <c r="AU308" s="31">
        <f>MIN(AU$5,AA307+AK308)</f>
        <v>0.0</v>
      </c>
    </row>
    <row r="309">
      <c r="A309" s="25" t="str">
        <f>IF(F308&gt;0.005,304,"")</f>
        <v/>
      </c>
      <c r="B309" s="33" t="str">
        <f>IF(A309="","",EDATE(Долги!$D$5,303))</f>
        <v/>
      </c>
      <c r="C309" s="31">
        <f>SUM(H309:Q309)</f>
        <v>0.0</v>
      </c>
      <c r="D309" s="31">
        <f>SUM(AB309:AK309)</f>
        <v>0.0</v>
      </c>
      <c r="E309" s="31">
        <f>C309-D309</f>
        <v>0.0</v>
      </c>
      <c r="F309" s="31">
        <f>SUM(R309:AA309)</f>
        <v>0.0</v>
      </c>
      <c r="G309" s="34" t="str">
        <f>IF(OR(A309="",$F$5&lt;=0),"",REPT("█",ROUND(20*F309/$F$5,0)))</f>
        <v/>
      </c>
      <c r="H309" s="31">
        <f>AL309+MIN(R308+AB309-AL309,MAX(0,ROUND(Долги!$D$19-SUM($AL309:$AU309),2)))</f>
        <v>0.0</v>
      </c>
      <c r="I309" s="31">
        <f>AM309+MIN(S308+AC309-AM309,MAX(0,ROUND(ROUND(Долги!$D$19-SUM($AL309:$AU309),2)-(SUM($H309:H309)-SUM($AL309:AL309)),2)))</f>
        <v>0.0</v>
      </c>
      <c r="J309" s="31">
        <f>AN309+MIN(T308+AD309-AN309,MAX(0,ROUND(ROUND(Долги!$D$19-SUM($AL309:$AU309),2)-(SUM($H309:I309)-SUM($AL309:AM309)),2)))</f>
        <v>0.0</v>
      </c>
      <c r="K309" s="31">
        <f>AO309+MIN(U308+AE309-AO309,MAX(0,ROUND(ROUND(Долги!$D$19-SUM($AL309:$AU309),2)-(SUM($H309:J309)-SUM($AL309:AN309)),2)))</f>
        <v>0.0</v>
      </c>
      <c r="L309" s="31">
        <f>AP309+MIN(V308+AF309-AP309,MAX(0,ROUND(ROUND(Долги!$D$19-SUM($AL309:$AU309),2)-(SUM($H309:K309)-SUM($AL309:AO309)),2)))</f>
        <v>0.0</v>
      </c>
      <c r="M309" s="31">
        <f>AQ309+MIN(W308+AG309-AQ309,MAX(0,ROUND(ROUND(Долги!$D$19-SUM($AL309:$AU309),2)-(SUM($H309:L309)-SUM($AL309:AP309)),2)))</f>
        <v>0.0</v>
      </c>
      <c r="N309" s="31">
        <f>AR309+MIN(X308+AH309-AR309,MAX(0,ROUND(ROUND(Долги!$D$19-SUM($AL309:$AU309),2)-(SUM($H309:M309)-SUM($AL309:AQ309)),2)))</f>
        <v>0.0</v>
      </c>
      <c r="O309" s="31">
        <f>AS309+MIN(Y308+AI309-AS309,MAX(0,ROUND(ROUND(Долги!$D$19-SUM($AL309:$AU309),2)-(SUM($H309:N309)-SUM($AL309:AR309)),2)))</f>
        <v>0.0</v>
      </c>
      <c r="P309" s="31">
        <f>AT309+MIN(Z308+AJ309-AT309,MAX(0,ROUND(ROUND(Долги!$D$19-SUM($AL309:$AU309),2)-(SUM($H309:O309)-SUM($AL309:AS309)),2)))</f>
        <v>0.0</v>
      </c>
      <c r="Q309" s="31">
        <f>AU309+MIN(AA308+AK309-AU309,MAX(0,ROUND(ROUND(Долги!$D$19-SUM($AL309:$AU309),2)-(SUM($H309:P309)-SUM($AL309:AT309)),2)))</f>
        <v>0.0</v>
      </c>
      <c r="R309" s="31">
        <f>IF(R308+AB309-H309&lt;=0.01,0,ROUND(R308+AB309-H309,2))</f>
        <v>0.0</v>
      </c>
      <c r="S309" s="31">
        <f>IF(S308+AC309-I309&lt;=0.01,0,ROUND(S308+AC309-I309,2))</f>
        <v>0.0</v>
      </c>
      <c r="T309" s="31">
        <f>IF(T308+AD309-J309&lt;=0.01,0,ROUND(T308+AD309-J309,2))</f>
        <v>0.0</v>
      </c>
      <c r="U309" s="31">
        <f>IF(U308+AE309-K309&lt;=0.01,0,ROUND(U308+AE309-K309,2))</f>
        <v>0.0</v>
      </c>
      <c r="V309" s="31">
        <f>IF(V308+AF309-L309&lt;=0.01,0,ROUND(V308+AF309-L309,2))</f>
        <v>0.0</v>
      </c>
      <c r="W309" s="31">
        <f>IF(W308+AG309-M309&lt;=0.01,0,ROUND(W308+AG309-M309,2))</f>
        <v>0.0</v>
      </c>
      <c r="X309" s="31">
        <f>IF(X308+AH309-N309&lt;=0.01,0,ROUND(X308+AH309-N309,2))</f>
        <v>0.0</v>
      </c>
      <c r="Y309" s="31">
        <f>IF(Y308+AI309-O309&lt;=0.01,0,ROUND(Y308+AI309-O309,2))</f>
        <v>0.0</v>
      </c>
      <c r="Z309" s="31">
        <f>IF(Z308+AJ309-P309&lt;=0.01,0,ROUND(Z308+AJ309-P309,2))</f>
        <v>0.0</v>
      </c>
      <c r="AA309" s="31">
        <f>IF(AA308+AK309-Q309&lt;=0.01,0,ROUND(AA308+AK309-Q309,2))</f>
        <v>0.0</v>
      </c>
      <c r="AB309" s="31">
        <f>ROUND(R308*AB$5/1200,2)</f>
        <v>0.0</v>
      </c>
      <c r="AC309" s="31">
        <f>ROUND(S308*AC$5/1200,2)</f>
        <v>0.0</v>
      </c>
      <c r="AD309" s="31">
        <f>ROUND(T308*AD$5/1200,2)</f>
        <v>0.0</v>
      </c>
      <c r="AE309" s="31">
        <f>ROUND(U308*AE$5/1200,2)</f>
        <v>0.0</v>
      </c>
      <c r="AF309" s="31">
        <f>ROUND(V308*AF$5/1200,2)</f>
        <v>0.0</v>
      </c>
      <c r="AG309" s="31">
        <f>ROUND(W308*AG$5/1200,2)</f>
        <v>0.0</v>
      </c>
      <c r="AH309" s="31">
        <f>ROUND(X308*AH$5/1200,2)</f>
        <v>0.0</v>
      </c>
      <c r="AI309" s="31">
        <f>ROUND(Y308*AI$5/1200,2)</f>
        <v>0.0</v>
      </c>
      <c r="AJ309" s="31">
        <f>ROUND(Z308*AJ$5/1200,2)</f>
        <v>0.0</v>
      </c>
      <c r="AK309" s="31">
        <f>ROUND(AA308*AK$5/1200,2)</f>
        <v>0.0</v>
      </c>
      <c r="AL309" s="31">
        <f>MIN(AL$5,R308+AB309)</f>
        <v>0.0</v>
      </c>
      <c r="AM309" s="31">
        <f>MIN(AM$5,S308+AC309)</f>
        <v>0.0</v>
      </c>
      <c r="AN309" s="31">
        <f>MIN(AN$5,T308+AD309)</f>
        <v>0.0</v>
      </c>
      <c r="AO309" s="31">
        <f>MIN(AO$5,U308+AE309)</f>
        <v>0.0</v>
      </c>
      <c r="AP309" s="31">
        <f>MIN(AP$5,V308+AF309)</f>
        <v>0.0</v>
      </c>
      <c r="AQ309" s="31">
        <f>MIN(AQ$5,W308+AG309)</f>
        <v>0.0</v>
      </c>
      <c r="AR309" s="31">
        <f>MIN(AR$5,X308+AH309)</f>
        <v>0.0</v>
      </c>
      <c r="AS309" s="31">
        <f>MIN(AS$5,Y308+AI309)</f>
        <v>0.0</v>
      </c>
      <c r="AT309" s="31">
        <f>MIN(AT$5,Z308+AJ309)</f>
        <v>0.0</v>
      </c>
      <c r="AU309" s="31">
        <f>MIN(AU$5,AA308+AK309)</f>
        <v>0.0</v>
      </c>
    </row>
    <row r="310">
      <c r="A310" s="25" t="str">
        <f>IF(F309&gt;0.005,305,"")</f>
        <v/>
      </c>
      <c r="B310" s="33" t="str">
        <f>IF(A310="","",EDATE(Долги!$D$5,304))</f>
        <v/>
      </c>
      <c r="C310" s="31">
        <f>SUM(H310:Q310)</f>
        <v>0.0</v>
      </c>
      <c r="D310" s="31">
        <f>SUM(AB310:AK310)</f>
        <v>0.0</v>
      </c>
      <c r="E310" s="31">
        <f>C310-D310</f>
        <v>0.0</v>
      </c>
      <c r="F310" s="31">
        <f>SUM(R310:AA310)</f>
        <v>0.0</v>
      </c>
      <c r="G310" s="34" t="str">
        <f>IF(OR(A310="",$F$5&lt;=0),"",REPT("█",ROUND(20*F310/$F$5,0)))</f>
        <v/>
      </c>
      <c r="H310" s="31">
        <f>AL310+MIN(R309+AB310-AL310,MAX(0,ROUND(Долги!$D$19-SUM($AL310:$AU310),2)))</f>
        <v>0.0</v>
      </c>
      <c r="I310" s="31">
        <f>AM310+MIN(S309+AC310-AM310,MAX(0,ROUND(ROUND(Долги!$D$19-SUM($AL310:$AU310),2)-(SUM($H310:H310)-SUM($AL310:AL310)),2)))</f>
        <v>0.0</v>
      </c>
      <c r="J310" s="31">
        <f>AN310+MIN(T309+AD310-AN310,MAX(0,ROUND(ROUND(Долги!$D$19-SUM($AL310:$AU310),2)-(SUM($H310:I310)-SUM($AL310:AM310)),2)))</f>
        <v>0.0</v>
      </c>
      <c r="K310" s="31">
        <f>AO310+MIN(U309+AE310-AO310,MAX(0,ROUND(ROUND(Долги!$D$19-SUM($AL310:$AU310),2)-(SUM($H310:J310)-SUM($AL310:AN310)),2)))</f>
        <v>0.0</v>
      </c>
      <c r="L310" s="31">
        <f>AP310+MIN(V309+AF310-AP310,MAX(0,ROUND(ROUND(Долги!$D$19-SUM($AL310:$AU310),2)-(SUM($H310:K310)-SUM($AL310:AO310)),2)))</f>
        <v>0.0</v>
      </c>
      <c r="M310" s="31">
        <f>AQ310+MIN(W309+AG310-AQ310,MAX(0,ROUND(ROUND(Долги!$D$19-SUM($AL310:$AU310),2)-(SUM($H310:L310)-SUM($AL310:AP310)),2)))</f>
        <v>0.0</v>
      </c>
      <c r="N310" s="31">
        <f>AR310+MIN(X309+AH310-AR310,MAX(0,ROUND(ROUND(Долги!$D$19-SUM($AL310:$AU310),2)-(SUM($H310:M310)-SUM($AL310:AQ310)),2)))</f>
        <v>0.0</v>
      </c>
      <c r="O310" s="31">
        <f>AS310+MIN(Y309+AI310-AS310,MAX(0,ROUND(ROUND(Долги!$D$19-SUM($AL310:$AU310),2)-(SUM($H310:N310)-SUM($AL310:AR310)),2)))</f>
        <v>0.0</v>
      </c>
      <c r="P310" s="31">
        <f>AT310+MIN(Z309+AJ310-AT310,MAX(0,ROUND(ROUND(Долги!$D$19-SUM($AL310:$AU310),2)-(SUM($H310:O310)-SUM($AL310:AS310)),2)))</f>
        <v>0.0</v>
      </c>
      <c r="Q310" s="31">
        <f>AU310+MIN(AA309+AK310-AU310,MAX(0,ROUND(ROUND(Долги!$D$19-SUM($AL310:$AU310),2)-(SUM($H310:P310)-SUM($AL310:AT310)),2)))</f>
        <v>0.0</v>
      </c>
      <c r="R310" s="31">
        <f>IF(R309+AB310-H310&lt;=0.01,0,ROUND(R309+AB310-H310,2))</f>
        <v>0.0</v>
      </c>
      <c r="S310" s="31">
        <f>IF(S309+AC310-I310&lt;=0.01,0,ROUND(S309+AC310-I310,2))</f>
        <v>0.0</v>
      </c>
      <c r="T310" s="31">
        <f>IF(T309+AD310-J310&lt;=0.01,0,ROUND(T309+AD310-J310,2))</f>
        <v>0.0</v>
      </c>
      <c r="U310" s="31">
        <f>IF(U309+AE310-K310&lt;=0.01,0,ROUND(U309+AE310-K310,2))</f>
        <v>0.0</v>
      </c>
      <c r="V310" s="31">
        <f>IF(V309+AF310-L310&lt;=0.01,0,ROUND(V309+AF310-L310,2))</f>
        <v>0.0</v>
      </c>
      <c r="W310" s="31">
        <f>IF(W309+AG310-M310&lt;=0.01,0,ROUND(W309+AG310-M310,2))</f>
        <v>0.0</v>
      </c>
      <c r="X310" s="31">
        <f>IF(X309+AH310-N310&lt;=0.01,0,ROUND(X309+AH310-N310,2))</f>
        <v>0.0</v>
      </c>
      <c r="Y310" s="31">
        <f>IF(Y309+AI310-O310&lt;=0.01,0,ROUND(Y309+AI310-O310,2))</f>
        <v>0.0</v>
      </c>
      <c r="Z310" s="31">
        <f>IF(Z309+AJ310-P310&lt;=0.01,0,ROUND(Z309+AJ310-P310,2))</f>
        <v>0.0</v>
      </c>
      <c r="AA310" s="31">
        <f>IF(AA309+AK310-Q310&lt;=0.01,0,ROUND(AA309+AK310-Q310,2))</f>
        <v>0.0</v>
      </c>
      <c r="AB310" s="31">
        <f>ROUND(R309*AB$5/1200,2)</f>
        <v>0.0</v>
      </c>
      <c r="AC310" s="31">
        <f>ROUND(S309*AC$5/1200,2)</f>
        <v>0.0</v>
      </c>
      <c r="AD310" s="31">
        <f>ROUND(T309*AD$5/1200,2)</f>
        <v>0.0</v>
      </c>
      <c r="AE310" s="31">
        <f>ROUND(U309*AE$5/1200,2)</f>
        <v>0.0</v>
      </c>
      <c r="AF310" s="31">
        <f>ROUND(V309*AF$5/1200,2)</f>
        <v>0.0</v>
      </c>
      <c r="AG310" s="31">
        <f>ROUND(W309*AG$5/1200,2)</f>
        <v>0.0</v>
      </c>
      <c r="AH310" s="31">
        <f>ROUND(X309*AH$5/1200,2)</f>
        <v>0.0</v>
      </c>
      <c r="AI310" s="31">
        <f>ROUND(Y309*AI$5/1200,2)</f>
        <v>0.0</v>
      </c>
      <c r="AJ310" s="31">
        <f>ROUND(Z309*AJ$5/1200,2)</f>
        <v>0.0</v>
      </c>
      <c r="AK310" s="31">
        <f>ROUND(AA309*AK$5/1200,2)</f>
        <v>0.0</v>
      </c>
      <c r="AL310" s="31">
        <f>MIN(AL$5,R309+AB310)</f>
        <v>0.0</v>
      </c>
      <c r="AM310" s="31">
        <f>MIN(AM$5,S309+AC310)</f>
        <v>0.0</v>
      </c>
      <c r="AN310" s="31">
        <f>MIN(AN$5,T309+AD310)</f>
        <v>0.0</v>
      </c>
      <c r="AO310" s="31">
        <f>MIN(AO$5,U309+AE310)</f>
        <v>0.0</v>
      </c>
      <c r="AP310" s="31">
        <f>MIN(AP$5,V309+AF310)</f>
        <v>0.0</v>
      </c>
      <c r="AQ310" s="31">
        <f>MIN(AQ$5,W309+AG310)</f>
        <v>0.0</v>
      </c>
      <c r="AR310" s="31">
        <f>MIN(AR$5,X309+AH310)</f>
        <v>0.0</v>
      </c>
      <c r="AS310" s="31">
        <f>MIN(AS$5,Y309+AI310)</f>
        <v>0.0</v>
      </c>
      <c r="AT310" s="31">
        <f>MIN(AT$5,Z309+AJ310)</f>
        <v>0.0</v>
      </c>
      <c r="AU310" s="31">
        <f>MIN(AU$5,AA309+AK310)</f>
        <v>0.0</v>
      </c>
    </row>
    <row r="311">
      <c r="A311" s="25" t="str">
        <f>IF(F310&gt;0.005,306,"")</f>
        <v/>
      </c>
      <c r="B311" s="33" t="str">
        <f>IF(A311="","",EDATE(Долги!$D$5,305))</f>
        <v/>
      </c>
      <c r="C311" s="31">
        <f>SUM(H311:Q311)</f>
        <v>0.0</v>
      </c>
      <c r="D311" s="31">
        <f>SUM(AB311:AK311)</f>
        <v>0.0</v>
      </c>
      <c r="E311" s="31">
        <f>C311-D311</f>
        <v>0.0</v>
      </c>
      <c r="F311" s="31">
        <f>SUM(R311:AA311)</f>
        <v>0.0</v>
      </c>
      <c r="G311" s="34" t="str">
        <f>IF(OR(A311="",$F$5&lt;=0),"",REPT("█",ROUND(20*F311/$F$5,0)))</f>
        <v/>
      </c>
      <c r="H311" s="31">
        <f>AL311+MIN(R310+AB311-AL311,MAX(0,ROUND(Долги!$D$19-SUM($AL311:$AU311),2)))</f>
        <v>0.0</v>
      </c>
      <c r="I311" s="31">
        <f>AM311+MIN(S310+AC311-AM311,MAX(0,ROUND(ROUND(Долги!$D$19-SUM($AL311:$AU311),2)-(SUM($H311:H311)-SUM($AL311:AL311)),2)))</f>
        <v>0.0</v>
      </c>
      <c r="J311" s="31">
        <f>AN311+MIN(T310+AD311-AN311,MAX(0,ROUND(ROUND(Долги!$D$19-SUM($AL311:$AU311),2)-(SUM($H311:I311)-SUM($AL311:AM311)),2)))</f>
        <v>0.0</v>
      </c>
      <c r="K311" s="31">
        <f>AO311+MIN(U310+AE311-AO311,MAX(0,ROUND(ROUND(Долги!$D$19-SUM($AL311:$AU311),2)-(SUM($H311:J311)-SUM($AL311:AN311)),2)))</f>
        <v>0.0</v>
      </c>
      <c r="L311" s="31">
        <f>AP311+MIN(V310+AF311-AP311,MAX(0,ROUND(ROUND(Долги!$D$19-SUM($AL311:$AU311),2)-(SUM($H311:K311)-SUM($AL311:AO311)),2)))</f>
        <v>0.0</v>
      </c>
      <c r="M311" s="31">
        <f>AQ311+MIN(W310+AG311-AQ311,MAX(0,ROUND(ROUND(Долги!$D$19-SUM($AL311:$AU311),2)-(SUM($H311:L311)-SUM($AL311:AP311)),2)))</f>
        <v>0.0</v>
      </c>
      <c r="N311" s="31">
        <f>AR311+MIN(X310+AH311-AR311,MAX(0,ROUND(ROUND(Долги!$D$19-SUM($AL311:$AU311),2)-(SUM($H311:M311)-SUM($AL311:AQ311)),2)))</f>
        <v>0.0</v>
      </c>
      <c r="O311" s="31">
        <f>AS311+MIN(Y310+AI311-AS311,MAX(0,ROUND(ROUND(Долги!$D$19-SUM($AL311:$AU311),2)-(SUM($H311:N311)-SUM($AL311:AR311)),2)))</f>
        <v>0.0</v>
      </c>
      <c r="P311" s="31">
        <f>AT311+MIN(Z310+AJ311-AT311,MAX(0,ROUND(ROUND(Долги!$D$19-SUM($AL311:$AU311),2)-(SUM($H311:O311)-SUM($AL311:AS311)),2)))</f>
        <v>0.0</v>
      </c>
      <c r="Q311" s="31">
        <f>AU311+MIN(AA310+AK311-AU311,MAX(0,ROUND(ROUND(Долги!$D$19-SUM($AL311:$AU311),2)-(SUM($H311:P311)-SUM($AL311:AT311)),2)))</f>
        <v>0.0</v>
      </c>
      <c r="R311" s="31">
        <f>IF(R310+AB311-H311&lt;=0.01,0,ROUND(R310+AB311-H311,2))</f>
        <v>0.0</v>
      </c>
      <c r="S311" s="31">
        <f>IF(S310+AC311-I311&lt;=0.01,0,ROUND(S310+AC311-I311,2))</f>
        <v>0.0</v>
      </c>
      <c r="T311" s="31">
        <f>IF(T310+AD311-J311&lt;=0.01,0,ROUND(T310+AD311-J311,2))</f>
        <v>0.0</v>
      </c>
      <c r="U311" s="31">
        <f>IF(U310+AE311-K311&lt;=0.01,0,ROUND(U310+AE311-K311,2))</f>
        <v>0.0</v>
      </c>
      <c r="V311" s="31">
        <f>IF(V310+AF311-L311&lt;=0.01,0,ROUND(V310+AF311-L311,2))</f>
        <v>0.0</v>
      </c>
      <c r="W311" s="31">
        <f>IF(W310+AG311-M311&lt;=0.01,0,ROUND(W310+AG311-M311,2))</f>
        <v>0.0</v>
      </c>
      <c r="X311" s="31">
        <f>IF(X310+AH311-N311&lt;=0.01,0,ROUND(X310+AH311-N311,2))</f>
        <v>0.0</v>
      </c>
      <c r="Y311" s="31">
        <f>IF(Y310+AI311-O311&lt;=0.01,0,ROUND(Y310+AI311-O311,2))</f>
        <v>0.0</v>
      </c>
      <c r="Z311" s="31">
        <f>IF(Z310+AJ311-P311&lt;=0.01,0,ROUND(Z310+AJ311-P311,2))</f>
        <v>0.0</v>
      </c>
      <c r="AA311" s="31">
        <f>IF(AA310+AK311-Q311&lt;=0.01,0,ROUND(AA310+AK311-Q311,2))</f>
        <v>0.0</v>
      </c>
      <c r="AB311" s="31">
        <f>ROUND(R310*AB$5/1200,2)</f>
        <v>0.0</v>
      </c>
      <c r="AC311" s="31">
        <f>ROUND(S310*AC$5/1200,2)</f>
        <v>0.0</v>
      </c>
      <c r="AD311" s="31">
        <f>ROUND(T310*AD$5/1200,2)</f>
        <v>0.0</v>
      </c>
      <c r="AE311" s="31">
        <f>ROUND(U310*AE$5/1200,2)</f>
        <v>0.0</v>
      </c>
      <c r="AF311" s="31">
        <f>ROUND(V310*AF$5/1200,2)</f>
        <v>0.0</v>
      </c>
      <c r="AG311" s="31">
        <f>ROUND(W310*AG$5/1200,2)</f>
        <v>0.0</v>
      </c>
      <c r="AH311" s="31">
        <f>ROUND(X310*AH$5/1200,2)</f>
        <v>0.0</v>
      </c>
      <c r="AI311" s="31">
        <f>ROUND(Y310*AI$5/1200,2)</f>
        <v>0.0</v>
      </c>
      <c r="AJ311" s="31">
        <f>ROUND(Z310*AJ$5/1200,2)</f>
        <v>0.0</v>
      </c>
      <c r="AK311" s="31">
        <f>ROUND(AA310*AK$5/1200,2)</f>
        <v>0.0</v>
      </c>
      <c r="AL311" s="31">
        <f>MIN(AL$5,R310+AB311)</f>
        <v>0.0</v>
      </c>
      <c r="AM311" s="31">
        <f>MIN(AM$5,S310+AC311)</f>
        <v>0.0</v>
      </c>
      <c r="AN311" s="31">
        <f>MIN(AN$5,T310+AD311)</f>
        <v>0.0</v>
      </c>
      <c r="AO311" s="31">
        <f>MIN(AO$5,U310+AE311)</f>
        <v>0.0</v>
      </c>
      <c r="AP311" s="31">
        <f>MIN(AP$5,V310+AF311)</f>
        <v>0.0</v>
      </c>
      <c r="AQ311" s="31">
        <f>MIN(AQ$5,W310+AG311)</f>
        <v>0.0</v>
      </c>
      <c r="AR311" s="31">
        <f>MIN(AR$5,X310+AH311)</f>
        <v>0.0</v>
      </c>
      <c r="AS311" s="31">
        <f>MIN(AS$5,Y310+AI311)</f>
        <v>0.0</v>
      </c>
      <c r="AT311" s="31">
        <f>MIN(AT$5,Z310+AJ311)</f>
        <v>0.0</v>
      </c>
      <c r="AU311" s="31">
        <f>MIN(AU$5,AA310+AK311)</f>
        <v>0.0</v>
      </c>
    </row>
    <row r="312">
      <c r="A312" s="25" t="str">
        <f>IF(F311&gt;0.005,307,"")</f>
        <v/>
      </c>
      <c r="B312" s="33" t="str">
        <f>IF(A312="","",EDATE(Долги!$D$5,306))</f>
        <v/>
      </c>
      <c r="C312" s="31">
        <f>SUM(H312:Q312)</f>
        <v>0.0</v>
      </c>
      <c r="D312" s="31">
        <f>SUM(AB312:AK312)</f>
        <v>0.0</v>
      </c>
      <c r="E312" s="31">
        <f>C312-D312</f>
        <v>0.0</v>
      </c>
      <c r="F312" s="31">
        <f>SUM(R312:AA312)</f>
        <v>0.0</v>
      </c>
      <c r="G312" s="34" t="str">
        <f>IF(OR(A312="",$F$5&lt;=0),"",REPT("█",ROUND(20*F312/$F$5,0)))</f>
        <v/>
      </c>
      <c r="H312" s="31">
        <f>AL312+MIN(R311+AB312-AL312,MAX(0,ROUND(Долги!$D$19-SUM($AL312:$AU312),2)))</f>
        <v>0.0</v>
      </c>
      <c r="I312" s="31">
        <f>AM312+MIN(S311+AC312-AM312,MAX(0,ROUND(ROUND(Долги!$D$19-SUM($AL312:$AU312),2)-(SUM($H312:H312)-SUM($AL312:AL312)),2)))</f>
        <v>0.0</v>
      </c>
      <c r="J312" s="31">
        <f>AN312+MIN(T311+AD312-AN312,MAX(0,ROUND(ROUND(Долги!$D$19-SUM($AL312:$AU312),2)-(SUM($H312:I312)-SUM($AL312:AM312)),2)))</f>
        <v>0.0</v>
      </c>
      <c r="K312" s="31">
        <f>AO312+MIN(U311+AE312-AO312,MAX(0,ROUND(ROUND(Долги!$D$19-SUM($AL312:$AU312),2)-(SUM($H312:J312)-SUM($AL312:AN312)),2)))</f>
        <v>0.0</v>
      </c>
      <c r="L312" s="31">
        <f>AP312+MIN(V311+AF312-AP312,MAX(0,ROUND(ROUND(Долги!$D$19-SUM($AL312:$AU312),2)-(SUM($H312:K312)-SUM($AL312:AO312)),2)))</f>
        <v>0.0</v>
      </c>
      <c r="M312" s="31">
        <f>AQ312+MIN(W311+AG312-AQ312,MAX(0,ROUND(ROUND(Долги!$D$19-SUM($AL312:$AU312),2)-(SUM($H312:L312)-SUM($AL312:AP312)),2)))</f>
        <v>0.0</v>
      </c>
      <c r="N312" s="31">
        <f>AR312+MIN(X311+AH312-AR312,MAX(0,ROUND(ROUND(Долги!$D$19-SUM($AL312:$AU312),2)-(SUM($H312:M312)-SUM($AL312:AQ312)),2)))</f>
        <v>0.0</v>
      </c>
      <c r="O312" s="31">
        <f>AS312+MIN(Y311+AI312-AS312,MAX(0,ROUND(ROUND(Долги!$D$19-SUM($AL312:$AU312),2)-(SUM($H312:N312)-SUM($AL312:AR312)),2)))</f>
        <v>0.0</v>
      </c>
      <c r="P312" s="31">
        <f>AT312+MIN(Z311+AJ312-AT312,MAX(0,ROUND(ROUND(Долги!$D$19-SUM($AL312:$AU312),2)-(SUM($H312:O312)-SUM($AL312:AS312)),2)))</f>
        <v>0.0</v>
      </c>
      <c r="Q312" s="31">
        <f>AU312+MIN(AA311+AK312-AU312,MAX(0,ROUND(ROUND(Долги!$D$19-SUM($AL312:$AU312),2)-(SUM($H312:P312)-SUM($AL312:AT312)),2)))</f>
        <v>0.0</v>
      </c>
      <c r="R312" s="31">
        <f>IF(R311+AB312-H312&lt;=0.01,0,ROUND(R311+AB312-H312,2))</f>
        <v>0.0</v>
      </c>
      <c r="S312" s="31">
        <f>IF(S311+AC312-I312&lt;=0.01,0,ROUND(S311+AC312-I312,2))</f>
        <v>0.0</v>
      </c>
      <c r="T312" s="31">
        <f>IF(T311+AD312-J312&lt;=0.01,0,ROUND(T311+AD312-J312,2))</f>
        <v>0.0</v>
      </c>
      <c r="U312" s="31">
        <f>IF(U311+AE312-K312&lt;=0.01,0,ROUND(U311+AE312-K312,2))</f>
        <v>0.0</v>
      </c>
      <c r="V312" s="31">
        <f>IF(V311+AF312-L312&lt;=0.01,0,ROUND(V311+AF312-L312,2))</f>
        <v>0.0</v>
      </c>
      <c r="W312" s="31">
        <f>IF(W311+AG312-M312&lt;=0.01,0,ROUND(W311+AG312-M312,2))</f>
        <v>0.0</v>
      </c>
      <c r="X312" s="31">
        <f>IF(X311+AH312-N312&lt;=0.01,0,ROUND(X311+AH312-N312,2))</f>
        <v>0.0</v>
      </c>
      <c r="Y312" s="31">
        <f>IF(Y311+AI312-O312&lt;=0.01,0,ROUND(Y311+AI312-O312,2))</f>
        <v>0.0</v>
      </c>
      <c r="Z312" s="31">
        <f>IF(Z311+AJ312-P312&lt;=0.01,0,ROUND(Z311+AJ312-P312,2))</f>
        <v>0.0</v>
      </c>
      <c r="AA312" s="31">
        <f>IF(AA311+AK312-Q312&lt;=0.01,0,ROUND(AA311+AK312-Q312,2))</f>
        <v>0.0</v>
      </c>
      <c r="AB312" s="31">
        <f>ROUND(R311*AB$5/1200,2)</f>
        <v>0.0</v>
      </c>
      <c r="AC312" s="31">
        <f>ROUND(S311*AC$5/1200,2)</f>
        <v>0.0</v>
      </c>
      <c r="AD312" s="31">
        <f>ROUND(T311*AD$5/1200,2)</f>
        <v>0.0</v>
      </c>
      <c r="AE312" s="31">
        <f>ROUND(U311*AE$5/1200,2)</f>
        <v>0.0</v>
      </c>
      <c r="AF312" s="31">
        <f>ROUND(V311*AF$5/1200,2)</f>
        <v>0.0</v>
      </c>
      <c r="AG312" s="31">
        <f>ROUND(W311*AG$5/1200,2)</f>
        <v>0.0</v>
      </c>
      <c r="AH312" s="31">
        <f>ROUND(X311*AH$5/1200,2)</f>
        <v>0.0</v>
      </c>
      <c r="AI312" s="31">
        <f>ROUND(Y311*AI$5/1200,2)</f>
        <v>0.0</v>
      </c>
      <c r="AJ312" s="31">
        <f>ROUND(Z311*AJ$5/1200,2)</f>
        <v>0.0</v>
      </c>
      <c r="AK312" s="31">
        <f>ROUND(AA311*AK$5/1200,2)</f>
        <v>0.0</v>
      </c>
      <c r="AL312" s="31">
        <f>MIN(AL$5,R311+AB312)</f>
        <v>0.0</v>
      </c>
      <c r="AM312" s="31">
        <f>MIN(AM$5,S311+AC312)</f>
        <v>0.0</v>
      </c>
      <c r="AN312" s="31">
        <f>MIN(AN$5,T311+AD312)</f>
        <v>0.0</v>
      </c>
      <c r="AO312" s="31">
        <f>MIN(AO$5,U311+AE312)</f>
        <v>0.0</v>
      </c>
      <c r="AP312" s="31">
        <f>MIN(AP$5,V311+AF312)</f>
        <v>0.0</v>
      </c>
      <c r="AQ312" s="31">
        <f>MIN(AQ$5,W311+AG312)</f>
        <v>0.0</v>
      </c>
      <c r="AR312" s="31">
        <f>MIN(AR$5,X311+AH312)</f>
        <v>0.0</v>
      </c>
      <c r="AS312" s="31">
        <f>MIN(AS$5,Y311+AI312)</f>
        <v>0.0</v>
      </c>
      <c r="AT312" s="31">
        <f>MIN(AT$5,Z311+AJ312)</f>
        <v>0.0</v>
      </c>
      <c r="AU312" s="31">
        <f>MIN(AU$5,AA311+AK312)</f>
        <v>0.0</v>
      </c>
    </row>
    <row r="313">
      <c r="A313" s="25" t="str">
        <f>IF(F312&gt;0.005,308,"")</f>
        <v/>
      </c>
      <c r="B313" s="33" t="str">
        <f>IF(A313="","",EDATE(Долги!$D$5,307))</f>
        <v/>
      </c>
      <c r="C313" s="31">
        <f>SUM(H313:Q313)</f>
        <v>0.0</v>
      </c>
      <c r="D313" s="31">
        <f>SUM(AB313:AK313)</f>
        <v>0.0</v>
      </c>
      <c r="E313" s="31">
        <f>C313-D313</f>
        <v>0.0</v>
      </c>
      <c r="F313" s="31">
        <f>SUM(R313:AA313)</f>
        <v>0.0</v>
      </c>
      <c r="G313" s="34" t="str">
        <f>IF(OR(A313="",$F$5&lt;=0),"",REPT("█",ROUND(20*F313/$F$5,0)))</f>
        <v/>
      </c>
      <c r="H313" s="31">
        <f>AL313+MIN(R312+AB313-AL313,MAX(0,ROUND(Долги!$D$19-SUM($AL313:$AU313),2)))</f>
        <v>0.0</v>
      </c>
      <c r="I313" s="31">
        <f>AM313+MIN(S312+AC313-AM313,MAX(0,ROUND(ROUND(Долги!$D$19-SUM($AL313:$AU313),2)-(SUM($H313:H313)-SUM($AL313:AL313)),2)))</f>
        <v>0.0</v>
      </c>
      <c r="J313" s="31">
        <f>AN313+MIN(T312+AD313-AN313,MAX(0,ROUND(ROUND(Долги!$D$19-SUM($AL313:$AU313),2)-(SUM($H313:I313)-SUM($AL313:AM313)),2)))</f>
        <v>0.0</v>
      </c>
      <c r="K313" s="31">
        <f>AO313+MIN(U312+AE313-AO313,MAX(0,ROUND(ROUND(Долги!$D$19-SUM($AL313:$AU313),2)-(SUM($H313:J313)-SUM($AL313:AN313)),2)))</f>
        <v>0.0</v>
      </c>
      <c r="L313" s="31">
        <f>AP313+MIN(V312+AF313-AP313,MAX(0,ROUND(ROUND(Долги!$D$19-SUM($AL313:$AU313),2)-(SUM($H313:K313)-SUM($AL313:AO313)),2)))</f>
        <v>0.0</v>
      </c>
      <c r="M313" s="31">
        <f>AQ313+MIN(W312+AG313-AQ313,MAX(0,ROUND(ROUND(Долги!$D$19-SUM($AL313:$AU313),2)-(SUM($H313:L313)-SUM($AL313:AP313)),2)))</f>
        <v>0.0</v>
      </c>
      <c r="N313" s="31">
        <f>AR313+MIN(X312+AH313-AR313,MAX(0,ROUND(ROUND(Долги!$D$19-SUM($AL313:$AU313),2)-(SUM($H313:M313)-SUM($AL313:AQ313)),2)))</f>
        <v>0.0</v>
      </c>
      <c r="O313" s="31">
        <f>AS313+MIN(Y312+AI313-AS313,MAX(0,ROUND(ROUND(Долги!$D$19-SUM($AL313:$AU313),2)-(SUM($H313:N313)-SUM($AL313:AR313)),2)))</f>
        <v>0.0</v>
      </c>
      <c r="P313" s="31">
        <f>AT313+MIN(Z312+AJ313-AT313,MAX(0,ROUND(ROUND(Долги!$D$19-SUM($AL313:$AU313),2)-(SUM($H313:O313)-SUM($AL313:AS313)),2)))</f>
        <v>0.0</v>
      </c>
      <c r="Q313" s="31">
        <f>AU313+MIN(AA312+AK313-AU313,MAX(0,ROUND(ROUND(Долги!$D$19-SUM($AL313:$AU313),2)-(SUM($H313:P313)-SUM($AL313:AT313)),2)))</f>
        <v>0.0</v>
      </c>
      <c r="R313" s="31">
        <f>IF(R312+AB313-H313&lt;=0.01,0,ROUND(R312+AB313-H313,2))</f>
        <v>0.0</v>
      </c>
      <c r="S313" s="31">
        <f>IF(S312+AC313-I313&lt;=0.01,0,ROUND(S312+AC313-I313,2))</f>
        <v>0.0</v>
      </c>
      <c r="T313" s="31">
        <f>IF(T312+AD313-J313&lt;=0.01,0,ROUND(T312+AD313-J313,2))</f>
        <v>0.0</v>
      </c>
      <c r="U313" s="31">
        <f>IF(U312+AE313-K313&lt;=0.01,0,ROUND(U312+AE313-K313,2))</f>
        <v>0.0</v>
      </c>
      <c r="V313" s="31">
        <f>IF(V312+AF313-L313&lt;=0.01,0,ROUND(V312+AF313-L313,2))</f>
        <v>0.0</v>
      </c>
      <c r="W313" s="31">
        <f>IF(W312+AG313-M313&lt;=0.01,0,ROUND(W312+AG313-M313,2))</f>
        <v>0.0</v>
      </c>
      <c r="X313" s="31">
        <f>IF(X312+AH313-N313&lt;=0.01,0,ROUND(X312+AH313-N313,2))</f>
        <v>0.0</v>
      </c>
      <c r="Y313" s="31">
        <f>IF(Y312+AI313-O313&lt;=0.01,0,ROUND(Y312+AI313-O313,2))</f>
        <v>0.0</v>
      </c>
      <c r="Z313" s="31">
        <f>IF(Z312+AJ313-P313&lt;=0.01,0,ROUND(Z312+AJ313-P313,2))</f>
        <v>0.0</v>
      </c>
      <c r="AA313" s="31">
        <f>IF(AA312+AK313-Q313&lt;=0.01,0,ROUND(AA312+AK313-Q313,2))</f>
        <v>0.0</v>
      </c>
      <c r="AB313" s="31">
        <f>ROUND(R312*AB$5/1200,2)</f>
        <v>0.0</v>
      </c>
      <c r="AC313" s="31">
        <f>ROUND(S312*AC$5/1200,2)</f>
        <v>0.0</v>
      </c>
      <c r="AD313" s="31">
        <f>ROUND(T312*AD$5/1200,2)</f>
        <v>0.0</v>
      </c>
      <c r="AE313" s="31">
        <f>ROUND(U312*AE$5/1200,2)</f>
        <v>0.0</v>
      </c>
      <c r="AF313" s="31">
        <f>ROUND(V312*AF$5/1200,2)</f>
        <v>0.0</v>
      </c>
      <c r="AG313" s="31">
        <f>ROUND(W312*AG$5/1200,2)</f>
        <v>0.0</v>
      </c>
      <c r="AH313" s="31">
        <f>ROUND(X312*AH$5/1200,2)</f>
        <v>0.0</v>
      </c>
      <c r="AI313" s="31">
        <f>ROUND(Y312*AI$5/1200,2)</f>
        <v>0.0</v>
      </c>
      <c r="AJ313" s="31">
        <f>ROUND(Z312*AJ$5/1200,2)</f>
        <v>0.0</v>
      </c>
      <c r="AK313" s="31">
        <f>ROUND(AA312*AK$5/1200,2)</f>
        <v>0.0</v>
      </c>
      <c r="AL313" s="31">
        <f>MIN(AL$5,R312+AB313)</f>
        <v>0.0</v>
      </c>
      <c r="AM313" s="31">
        <f>MIN(AM$5,S312+AC313)</f>
        <v>0.0</v>
      </c>
      <c r="AN313" s="31">
        <f>MIN(AN$5,T312+AD313)</f>
        <v>0.0</v>
      </c>
      <c r="AO313" s="31">
        <f>MIN(AO$5,U312+AE313)</f>
        <v>0.0</v>
      </c>
      <c r="AP313" s="31">
        <f>MIN(AP$5,V312+AF313)</f>
        <v>0.0</v>
      </c>
      <c r="AQ313" s="31">
        <f>MIN(AQ$5,W312+AG313)</f>
        <v>0.0</v>
      </c>
      <c r="AR313" s="31">
        <f>MIN(AR$5,X312+AH313)</f>
        <v>0.0</v>
      </c>
      <c r="AS313" s="31">
        <f>MIN(AS$5,Y312+AI313)</f>
        <v>0.0</v>
      </c>
      <c r="AT313" s="31">
        <f>MIN(AT$5,Z312+AJ313)</f>
        <v>0.0</v>
      </c>
      <c r="AU313" s="31">
        <f>MIN(AU$5,AA312+AK313)</f>
        <v>0.0</v>
      </c>
    </row>
    <row r="314">
      <c r="A314" s="25" t="str">
        <f>IF(F313&gt;0.005,309,"")</f>
        <v/>
      </c>
      <c r="B314" s="33" t="str">
        <f>IF(A314="","",EDATE(Долги!$D$5,308))</f>
        <v/>
      </c>
      <c r="C314" s="31">
        <f>SUM(H314:Q314)</f>
        <v>0.0</v>
      </c>
      <c r="D314" s="31">
        <f>SUM(AB314:AK314)</f>
        <v>0.0</v>
      </c>
      <c r="E314" s="31">
        <f>C314-D314</f>
        <v>0.0</v>
      </c>
      <c r="F314" s="31">
        <f>SUM(R314:AA314)</f>
        <v>0.0</v>
      </c>
      <c r="G314" s="34" t="str">
        <f>IF(OR(A314="",$F$5&lt;=0),"",REPT("█",ROUND(20*F314/$F$5,0)))</f>
        <v/>
      </c>
      <c r="H314" s="31">
        <f>AL314+MIN(R313+AB314-AL314,MAX(0,ROUND(Долги!$D$19-SUM($AL314:$AU314),2)))</f>
        <v>0.0</v>
      </c>
      <c r="I314" s="31">
        <f>AM314+MIN(S313+AC314-AM314,MAX(0,ROUND(ROUND(Долги!$D$19-SUM($AL314:$AU314),2)-(SUM($H314:H314)-SUM($AL314:AL314)),2)))</f>
        <v>0.0</v>
      </c>
      <c r="J314" s="31">
        <f>AN314+MIN(T313+AD314-AN314,MAX(0,ROUND(ROUND(Долги!$D$19-SUM($AL314:$AU314),2)-(SUM($H314:I314)-SUM($AL314:AM314)),2)))</f>
        <v>0.0</v>
      </c>
      <c r="K314" s="31">
        <f>AO314+MIN(U313+AE314-AO314,MAX(0,ROUND(ROUND(Долги!$D$19-SUM($AL314:$AU314),2)-(SUM($H314:J314)-SUM($AL314:AN314)),2)))</f>
        <v>0.0</v>
      </c>
      <c r="L314" s="31">
        <f>AP314+MIN(V313+AF314-AP314,MAX(0,ROUND(ROUND(Долги!$D$19-SUM($AL314:$AU314),2)-(SUM($H314:K314)-SUM($AL314:AO314)),2)))</f>
        <v>0.0</v>
      </c>
      <c r="M314" s="31">
        <f>AQ314+MIN(W313+AG314-AQ314,MAX(0,ROUND(ROUND(Долги!$D$19-SUM($AL314:$AU314),2)-(SUM($H314:L314)-SUM($AL314:AP314)),2)))</f>
        <v>0.0</v>
      </c>
      <c r="N314" s="31">
        <f>AR314+MIN(X313+AH314-AR314,MAX(0,ROUND(ROUND(Долги!$D$19-SUM($AL314:$AU314),2)-(SUM($H314:M314)-SUM($AL314:AQ314)),2)))</f>
        <v>0.0</v>
      </c>
      <c r="O314" s="31">
        <f>AS314+MIN(Y313+AI314-AS314,MAX(0,ROUND(ROUND(Долги!$D$19-SUM($AL314:$AU314),2)-(SUM($H314:N314)-SUM($AL314:AR314)),2)))</f>
        <v>0.0</v>
      </c>
      <c r="P314" s="31">
        <f>AT314+MIN(Z313+AJ314-AT314,MAX(0,ROUND(ROUND(Долги!$D$19-SUM($AL314:$AU314),2)-(SUM($H314:O314)-SUM($AL314:AS314)),2)))</f>
        <v>0.0</v>
      </c>
      <c r="Q314" s="31">
        <f>AU314+MIN(AA313+AK314-AU314,MAX(0,ROUND(ROUND(Долги!$D$19-SUM($AL314:$AU314),2)-(SUM($H314:P314)-SUM($AL314:AT314)),2)))</f>
        <v>0.0</v>
      </c>
      <c r="R314" s="31">
        <f>IF(R313+AB314-H314&lt;=0.01,0,ROUND(R313+AB314-H314,2))</f>
        <v>0.0</v>
      </c>
      <c r="S314" s="31">
        <f>IF(S313+AC314-I314&lt;=0.01,0,ROUND(S313+AC314-I314,2))</f>
        <v>0.0</v>
      </c>
      <c r="T314" s="31">
        <f>IF(T313+AD314-J314&lt;=0.01,0,ROUND(T313+AD314-J314,2))</f>
        <v>0.0</v>
      </c>
      <c r="U314" s="31">
        <f>IF(U313+AE314-K314&lt;=0.01,0,ROUND(U313+AE314-K314,2))</f>
        <v>0.0</v>
      </c>
      <c r="V314" s="31">
        <f>IF(V313+AF314-L314&lt;=0.01,0,ROUND(V313+AF314-L314,2))</f>
        <v>0.0</v>
      </c>
      <c r="W314" s="31">
        <f>IF(W313+AG314-M314&lt;=0.01,0,ROUND(W313+AG314-M314,2))</f>
        <v>0.0</v>
      </c>
      <c r="X314" s="31">
        <f>IF(X313+AH314-N314&lt;=0.01,0,ROUND(X313+AH314-N314,2))</f>
        <v>0.0</v>
      </c>
      <c r="Y314" s="31">
        <f>IF(Y313+AI314-O314&lt;=0.01,0,ROUND(Y313+AI314-O314,2))</f>
        <v>0.0</v>
      </c>
      <c r="Z314" s="31">
        <f>IF(Z313+AJ314-P314&lt;=0.01,0,ROUND(Z313+AJ314-P314,2))</f>
        <v>0.0</v>
      </c>
      <c r="AA314" s="31">
        <f>IF(AA313+AK314-Q314&lt;=0.01,0,ROUND(AA313+AK314-Q314,2))</f>
        <v>0.0</v>
      </c>
      <c r="AB314" s="31">
        <f>ROUND(R313*AB$5/1200,2)</f>
        <v>0.0</v>
      </c>
      <c r="AC314" s="31">
        <f>ROUND(S313*AC$5/1200,2)</f>
        <v>0.0</v>
      </c>
      <c r="AD314" s="31">
        <f>ROUND(T313*AD$5/1200,2)</f>
        <v>0.0</v>
      </c>
      <c r="AE314" s="31">
        <f>ROUND(U313*AE$5/1200,2)</f>
        <v>0.0</v>
      </c>
      <c r="AF314" s="31">
        <f>ROUND(V313*AF$5/1200,2)</f>
        <v>0.0</v>
      </c>
      <c r="AG314" s="31">
        <f>ROUND(W313*AG$5/1200,2)</f>
        <v>0.0</v>
      </c>
      <c r="AH314" s="31">
        <f>ROUND(X313*AH$5/1200,2)</f>
        <v>0.0</v>
      </c>
      <c r="AI314" s="31">
        <f>ROUND(Y313*AI$5/1200,2)</f>
        <v>0.0</v>
      </c>
      <c r="AJ314" s="31">
        <f>ROUND(Z313*AJ$5/1200,2)</f>
        <v>0.0</v>
      </c>
      <c r="AK314" s="31">
        <f>ROUND(AA313*AK$5/1200,2)</f>
        <v>0.0</v>
      </c>
      <c r="AL314" s="31">
        <f>MIN(AL$5,R313+AB314)</f>
        <v>0.0</v>
      </c>
      <c r="AM314" s="31">
        <f>MIN(AM$5,S313+AC314)</f>
        <v>0.0</v>
      </c>
      <c r="AN314" s="31">
        <f>MIN(AN$5,T313+AD314)</f>
        <v>0.0</v>
      </c>
      <c r="AO314" s="31">
        <f>MIN(AO$5,U313+AE314)</f>
        <v>0.0</v>
      </c>
      <c r="AP314" s="31">
        <f>MIN(AP$5,V313+AF314)</f>
        <v>0.0</v>
      </c>
      <c r="AQ314" s="31">
        <f>MIN(AQ$5,W313+AG314)</f>
        <v>0.0</v>
      </c>
      <c r="AR314" s="31">
        <f>MIN(AR$5,X313+AH314)</f>
        <v>0.0</v>
      </c>
      <c r="AS314" s="31">
        <f>MIN(AS$5,Y313+AI314)</f>
        <v>0.0</v>
      </c>
      <c r="AT314" s="31">
        <f>MIN(AT$5,Z313+AJ314)</f>
        <v>0.0</v>
      </c>
      <c r="AU314" s="31">
        <f>MIN(AU$5,AA313+AK314)</f>
        <v>0.0</v>
      </c>
    </row>
    <row r="315">
      <c r="A315" s="25" t="str">
        <f>IF(F314&gt;0.005,310,"")</f>
        <v/>
      </c>
      <c r="B315" s="33" t="str">
        <f>IF(A315="","",EDATE(Долги!$D$5,309))</f>
        <v/>
      </c>
      <c r="C315" s="31">
        <f>SUM(H315:Q315)</f>
        <v>0.0</v>
      </c>
      <c r="D315" s="31">
        <f>SUM(AB315:AK315)</f>
        <v>0.0</v>
      </c>
      <c r="E315" s="31">
        <f>C315-D315</f>
        <v>0.0</v>
      </c>
      <c r="F315" s="31">
        <f>SUM(R315:AA315)</f>
        <v>0.0</v>
      </c>
      <c r="G315" s="34" t="str">
        <f>IF(OR(A315="",$F$5&lt;=0),"",REPT("█",ROUND(20*F315/$F$5,0)))</f>
        <v/>
      </c>
      <c r="H315" s="31">
        <f>AL315+MIN(R314+AB315-AL315,MAX(0,ROUND(Долги!$D$19-SUM($AL315:$AU315),2)))</f>
        <v>0.0</v>
      </c>
      <c r="I315" s="31">
        <f>AM315+MIN(S314+AC315-AM315,MAX(0,ROUND(ROUND(Долги!$D$19-SUM($AL315:$AU315),2)-(SUM($H315:H315)-SUM($AL315:AL315)),2)))</f>
        <v>0.0</v>
      </c>
      <c r="J315" s="31">
        <f>AN315+MIN(T314+AD315-AN315,MAX(0,ROUND(ROUND(Долги!$D$19-SUM($AL315:$AU315),2)-(SUM($H315:I315)-SUM($AL315:AM315)),2)))</f>
        <v>0.0</v>
      </c>
      <c r="K315" s="31">
        <f>AO315+MIN(U314+AE315-AO315,MAX(0,ROUND(ROUND(Долги!$D$19-SUM($AL315:$AU315),2)-(SUM($H315:J315)-SUM($AL315:AN315)),2)))</f>
        <v>0.0</v>
      </c>
      <c r="L315" s="31">
        <f>AP315+MIN(V314+AF315-AP315,MAX(0,ROUND(ROUND(Долги!$D$19-SUM($AL315:$AU315),2)-(SUM($H315:K315)-SUM($AL315:AO315)),2)))</f>
        <v>0.0</v>
      </c>
      <c r="M315" s="31">
        <f>AQ315+MIN(W314+AG315-AQ315,MAX(0,ROUND(ROUND(Долги!$D$19-SUM($AL315:$AU315),2)-(SUM($H315:L315)-SUM($AL315:AP315)),2)))</f>
        <v>0.0</v>
      </c>
      <c r="N315" s="31">
        <f>AR315+MIN(X314+AH315-AR315,MAX(0,ROUND(ROUND(Долги!$D$19-SUM($AL315:$AU315),2)-(SUM($H315:M315)-SUM($AL315:AQ315)),2)))</f>
        <v>0.0</v>
      </c>
      <c r="O315" s="31">
        <f>AS315+MIN(Y314+AI315-AS315,MAX(0,ROUND(ROUND(Долги!$D$19-SUM($AL315:$AU315),2)-(SUM($H315:N315)-SUM($AL315:AR315)),2)))</f>
        <v>0.0</v>
      </c>
      <c r="P315" s="31">
        <f>AT315+MIN(Z314+AJ315-AT315,MAX(0,ROUND(ROUND(Долги!$D$19-SUM($AL315:$AU315),2)-(SUM($H315:O315)-SUM($AL315:AS315)),2)))</f>
        <v>0.0</v>
      </c>
      <c r="Q315" s="31">
        <f>AU315+MIN(AA314+AK315-AU315,MAX(0,ROUND(ROUND(Долги!$D$19-SUM($AL315:$AU315),2)-(SUM($H315:P315)-SUM($AL315:AT315)),2)))</f>
        <v>0.0</v>
      </c>
      <c r="R315" s="31">
        <f>IF(R314+AB315-H315&lt;=0.01,0,ROUND(R314+AB315-H315,2))</f>
        <v>0.0</v>
      </c>
      <c r="S315" s="31">
        <f>IF(S314+AC315-I315&lt;=0.01,0,ROUND(S314+AC315-I315,2))</f>
        <v>0.0</v>
      </c>
      <c r="T315" s="31">
        <f>IF(T314+AD315-J315&lt;=0.01,0,ROUND(T314+AD315-J315,2))</f>
        <v>0.0</v>
      </c>
      <c r="U315" s="31">
        <f>IF(U314+AE315-K315&lt;=0.01,0,ROUND(U314+AE315-K315,2))</f>
        <v>0.0</v>
      </c>
      <c r="V315" s="31">
        <f>IF(V314+AF315-L315&lt;=0.01,0,ROUND(V314+AF315-L315,2))</f>
        <v>0.0</v>
      </c>
      <c r="W315" s="31">
        <f>IF(W314+AG315-M315&lt;=0.01,0,ROUND(W314+AG315-M315,2))</f>
        <v>0.0</v>
      </c>
      <c r="X315" s="31">
        <f>IF(X314+AH315-N315&lt;=0.01,0,ROUND(X314+AH315-N315,2))</f>
        <v>0.0</v>
      </c>
      <c r="Y315" s="31">
        <f>IF(Y314+AI315-O315&lt;=0.01,0,ROUND(Y314+AI315-O315,2))</f>
        <v>0.0</v>
      </c>
      <c r="Z315" s="31">
        <f>IF(Z314+AJ315-P315&lt;=0.01,0,ROUND(Z314+AJ315-P315,2))</f>
        <v>0.0</v>
      </c>
      <c r="AA315" s="31">
        <f>IF(AA314+AK315-Q315&lt;=0.01,0,ROUND(AA314+AK315-Q315,2))</f>
        <v>0.0</v>
      </c>
      <c r="AB315" s="31">
        <f>ROUND(R314*AB$5/1200,2)</f>
        <v>0.0</v>
      </c>
      <c r="AC315" s="31">
        <f>ROUND(S314*AC$5/1200,2)</f>
        <v>0.0</v>
      </c>
      <c r="AD315" s="31">
        <f>ROUND(T314*AD$5/1200,2)</f>
        <v>0.0</v>
      </c>
      <c r="AE315" s="31">
        <f>ROUND(U314*AE$5/1200,2)</f>
        <v>0.0</v>
      </c>
      <c r="AF315" s="31">
        <f>ROUND(V314*AF$5/1200,2)</f>
        <v>0.0</v>
      </c>
      <c r="AG315" s="31">
        <f>ROUND(W314*AG$5/1200,2)</f>
        <v>0.0</v>
      </c>
      <c r="AH315" s="31">
        <f>ROUND(X314*AH$5/1200,2)</f>
        <v>0.0</v>
      </c>
      <c r="AI315" s="31">
        <f>ROUND(Y314*AI$5/1200,2)</f>
        <v>0.0</v>
      </c>
      <c r="AJ315" s="31">
        <f>ROUND(Z314*AJ$5/1200,2)</f>
        <v>0.0</v>
      </c>
      <c r="AK315" s="31">
        <f>ROUND(AA314*AK$5/1200,2)</f>
        <v>0.0</v>
      </c>
      <c r="AL315" s="31">
        <f>MIN(AL$5,R314+AB315)</f>
        <v>0.0</v>
      </c>
      <c r="AM315" s="31">
        <f>MIN(AM$5,S314+AC315)</f>
        <v>0.0</v>
      </c>
      <c r="AN315" s="31">
        <f>MIN(AN$5,T314+AD315)</f>
        <v>0.0</v>
      </c>
      <c r="AO315" s="31">
        <f>MIN(AO$5,U314+AE315)</f>
        <v>0.0</v>
      </c>
      <c r="AP315" s="31">
        <f>MIN(AP$5,V314+AF315)</f>
        <v>0.0</v>
      </c>
      <c r="AQ315" s="31">
        <f>MIN(AQ$5,W314+AG315)</f>
        <v>0.0</v>
      </c>
      <c r="AR315" s="31">
        <f>MIN(AR$5,X314+AH315)</f>
        <v>0.0</v>
      </c>
      <c r="AS315" s="31">
        <f>MIN(AS$5,Y314+AI315)</f>
        <v>0.0</v>
      </c>
      <c r="AT315" s="31">
        <f>MIN(AT$5,Z314+AJ315)</f>
        <v>0.0</v>
      </c>
      <c r="AU315" s="31">
        <f>MIN(AU$5,AA314+AK315)</f>
        <v>0.0</v>
      </c>
    </row>
    <row r="316">
      <c r="A316" s="25" t="str">
        <f>IF(F315&gt;0.005,311,"")</f>
        <v/>
      </c>
      <c r="B316" s="33" t="str">
        <f>IF(A316="","",EDATE(Долги!$D$5,310))</f>
        <v/>
      </c>
      <c r="C316" s="31">
        <f>SUM(H316:Q316)</f>
        <v>0.0</v>
      </c>
      <c r="D316" s="31">
        <f>SUM(AB316:AK316)</f>
        <v>0.0</v>
      </c>
      <c r="E316" s="31">
        <f>C316-D316</f>
        <v>0.0</v>
      </c>
      <c r="F316" s="31">
        <f>SUM(R316:AA316)</f>
        <v>0.0</v>
      </c>
      <c r="G316" s="34" t="str">
        <f>IF(OR(A316="",$F$5&lt;=0),"",REPT("█",ROUND(20*F316/$F$5,0)))</f>
        <v/>
      </c>
      <c r="H316" s="31">
        <f>AL316+MIN(R315+AB316-AL316,MAX(0,ROUND(Долги!$D$19-SUM($AL316:$AU316),2)))</f>
        <v>0.0</v>
      </c>
      <c r="I316" s="31">
        <f>AM316+MIN(S315+AC316-AM316,MAX(0,ROUND(ROUND(Долги!$D$19-SUM($AL316:$AU316),2)-(SUM($H316:H316)-SUM($AL316:AL316)),2)))</f>
        <v>0.0</v>
      </c>
      <c r="J316" s="31">
        <f>AN316+MIN(T315+AD316-AN316,MAX(0,ROUND(ROUND(Долги!$D$19-SUM($AL316:$AU316),2)-(SUM($H316:I316)-SUM($AL316:AM316)),2)))</f>
        <v>0.0</v>
      </c>
      <c r="K316" s="31">
        <f>AO316+MIN(U315+AE316-AO316,MAX(0,ROUND(ROUND(Долги!$D$19-SUM($AL316:$AU316),2)-(SUM($H316:J316)-SUM($AL316:AN316)),2)))</f>
        <v>0.0</v>
      </c>
      <c r="L316" s="31">
        <f>AP316+MIN(V315+AF316-AP316,MAX(0,ROUND(ROUND(Долги!$D$19-SUM($AL316:$AU316),2)-(SUM($H316:K316)-SUM($AL316:AO316)),2)))</f>
        <v>0.0</v>
      </c>
      <c r="M316" s="31">
        <f>AQ316+MIN(W315+AG316-AQ316,MAX(0,ROUND(ROUND(Долги!$D$19-SUM($AL316:$AU316),2)-(SUM($H316:L316)-SUM($AL316:AP316)),2)))</f>
        <v>0.0</v>
      </c>
      <c r="N316" s="31">
        <f>AR316+MIN(X315+AH316-AR316,MAX(0,ROUND(ROUND(Долги!$D$19-SUM($AL316:$AU316),2)-(SUM($H316:M316)-SUM($AL316:AQ316)),2)))</f>
        <v>0.0</v>
      </c>
      <c r="O316" s="31">
        <f>AS316+MIN(Y315+AI316-AS316,MAX(0,ROUND(ROUND(Долги!$D$19-SUM($AL316:$AU316),2)-(SUM($H316:N316)-SUM($AL316:AR316)),2)))</f>
        <v>0.0</v>
      </c>
      <c r="P316" s="31">
        <f>AT316+MIN(Z315+AJ316-AT316,MAX(0,ROUND(ROUND(Долги!$D$19-SUM($AL316:$AU316),2)-(SUM($H316:O316)-SUM($AL316:AS316)),2)))</f>
        <v>0.0</v>
      </c>
      <c r="Q316" s="31">
        <f>AU316+MIN(AA315+AK316-AU316,MAX(0,ROUND(ROUND(Долги!$D$19-SUM($AL316:$AU316),2)-(SUM($H316:P316)-SUM($AL316:AT316)),2)))</f>
        <v>0.0</v>
      </c>
      <c r="R316" s="31">
        <f>IF(R315+AB316-H316&lt;=0.01,0,ROUND(R315+AB316-H316,2))</f>
        <v>0.0</v>
      </c>
      <c r="S316" s="31">
        <f>IF(S315+AC316-I316&lt;=0.01,0,ROUND(S315+AC316-I316,2))</f>
        <v>0.0</v>
      </c>
      <c r="T316" s="31">
        <f>IF(T315+AD316-J316&lt;=0.01,0,ROUND(T315+AD316-J316,2))</f>
        <v>0.0</v>
      </c>
      <c r="U316" s="31">
        <f>IF(U315+AE316-K316&lt;=0.01,0,ROUND(U315+AE316-K316,2))</f>
        <v>0.0</v>
      </c>
      <c r="V316" s="31">
        <f>IF(V315+AF316-L316&lt;=0.01,0,ROUND(V315+AF316-L316,2))</f>
        <v>0.0</v>
      </c>
      <c r="W316" s="31">
        <f>IF(W315+AG316-M316&lt;=0.01,0,ROUND(W315+AG316-M316,2))</f>
        <v>0.0</v>
      </c>
      <c r="X316" s="31">
        <f>IF(X315+AH316-N316&lt;=0.01,0,ROUND(X315+AH316-N316,2))</f>
        <v>0.0</v>
      </c>
      <c r="Y316" s="31">
        <f>IF(Y315+AI316-O316&lt;=0.01,0,ROUND(Y315+AI316-O316,2))</f>
        <v>0.0</v>
      </c>
      <c r="Z316" s="31">
        <f>IF(Z315+AJ316-P316&lt;=0.01,0,ROUND(Z315+AJ316-P316,2))</f>
        <v>0.0</v>
      </c>
      <c r="AA316" s="31">
        <f>IF(AA315+AK316-Q316&lt;=0.01,0,ROUND(AA315+AK316-Q316,2))</f>
        <v>0.0</v>
      </c>
      <c r="AB316" s="31">
        <f>ROUND(R315*AB$5/1200,2)</f>
        <v>0.0</v>
      </c>
      <c r="AC316" s="31">
        <f>ROUND(S315*AC$5/1200,2)</f>
        <v>0.0</v>
      </c>
      <c r="AD316" s="31">
        <f>ROUND(T315*AD$5/1200,2)</f>
        <v>0.0</v>
      </c>
      <c r="AE316" s="31">
        <f>ROUND(U315*AE$5/1200,2)</f>
        <v>0.0</v>
      </c>
      <c r="AF316" s="31">
        <f>ROUND(V315*AF$5/1200,2)</f>
        <v>0.0</v>
      </c>
      <c r="AG316" s="31">
        <f>ROUND(W315*AG$5/1200,2)</f>
        <v>0.0</v>
      </c>
      <c r="AH316" s="31">
        <f>ROUND(X315*AH$5/1200,2)</f>
        <v>0.0</v>
      </c>
      <c r="AI316" s="31">
        <f>ROUND(Y315*AI$5/1200,2)</f>
        <v>0.0</v>
      </c>
      <c r="AJ316" s="31">
        <f>ROUND(Z315*AJ$5/1200,2)</f>
        <v>0.0</v>
      </c>
      <c r="AK316" s="31">
        <f>ROUND(AA315*AK$5/1200,2)</f>
        <v>0.0</v>
      </c>
      <c r="AL316" s="31">
        <f>MIN(AL$5,R315+AB316)</f>
        <v>0.0</v>
      </c>
      <c r="AM316" s="31">
        <f>MIN(AM$5,S315+AC316)</f>
        <v>0.0</v>
      </c>
      <c r="AN316" s="31">
        <f>MIN(AN$5,T315+AD316)</f>
        <v>0.0</v>
      </c>
      <c r="AO316" s="31">
        <f>MIN(AO$5,U315+AE316)</f>
        <v>0.0</v>
      </c>
      <c r="AP316" s="31">
        <f>MIN(AP$5,V315+AF316)</f>
        <v>0.0</v>
      </c>
      <c r="AQ316" s="31">
        <f>MIN(AQ$5,W315+AG316)</f>
        <v>0.0</v>
      </c>
      <c r="AR316" s="31">
        <f>MIN(AR$5,X315+AH316)</f>
        <v>0.0</v>
      </c>
      <c r="AS316" s="31">
        <f>MIN(AS$5,Y315+AI316)</f>
        <v>0.0</v>
      </c>
      <c r="AT316" s="31">
        <f>MIN(AT$5,Z315+AJ316)</f>
        <v>0.0</v>
      </c>
      <c r="AU316" s="31">
        <f>MIN(AU$5,AA315+AK316)</f>
        <v>0.0</v>
      </c>
    </row>
    <row r="317">
      <c r="A317" s="25" t="str">
        <f>IF(F316&gt;0.005,312,"")</f>
        <v/>
      </c>
      <c r="B317" s="33" t="str">
        <f>IF(A317="","",EDATE(Долги!$D$5,311))</f>
        <v/>
      </c>
      <c r="C317" s="31">
        <f>SUM(H317:Q317)</f>
        <v>0.0</v>
      </c>
      <c r="D317" s="31">
        <f>SUM(AB317:AK317)</f>
        <v>0.0</v>
      </c>
      <c r="E317" s="31">
        <f>C317-D317</f>
        <v>0.0</v>
      </c>
      <c r="F317" s="31">
        <f>SUM(R317:AA317)</f>
        <v>0.0</v>
      </c>
      <c r="G317" s="34" t="str">
        <f>IF(OR(A317="",$F$5&lt;=0),"",REPT("█",ROUND(20*F317/$F$5,0)))</f>
        <v/>
      </c>
      <c r="H317" s="31">
        <f>AL317+MIN(R316+AB317-AL317,MAX(0,ROUND(Долги!$D$19-SUM($AL317:$AU317),2)))</f>
        <v>0.0</v>
      </c>
      <c r="I317" s="31">
        <f>AM317+MIN(S316+AC317-AM317,MAX(0,ROUND(ROUND(Долги!$D$19-SUM($AL317:$AU317),2)-(SUM($H317:H317)-SUM($AL317:AL317)),2)))</f>
        <v>0.0</v>
      </c>
      <c r="J317" s="31">
        <f>AN317+MIN(T316+AD317-AN317,MAX(0,ROUND(ROUND(Долги!$D$19-SUM($AL317:$AU317),2)-(SUM($H317:I317)-SUM($AL317:AM317)),2)))</f>
        <v>0.0</v>
      </c>
      <c r="K317" s="31">
        <f>AO317+MIN(U316+AE317-AO317,MAX(0,ROUND(ROUND(Долги!$D$19-SUM($AL317:$AU317),2)-(SUM($H317:J317)-SUM($AL317:AN317)),2)))</f>
        <v>0.0</v>
      </c>
      <c r="L317" s="31">
        <f>AP317+MIN(V316+AF317-AP317,MAX(0,ROUND(ROUND(Долги!$D$19-SUM($AL317:$AU317),2)-(SUM($H317:K317)-SUM($AL317:AO317)),2)))</f>
        <v>0.0</v>
      </c>
      <c r="M317" s="31">
        <f>AQ317+MIN(W316+AG317-AQ317,MAX(0,ROUND(ROUND(Долги!$D$19-SUM($AL317:$AU317),2)-(SUM($H317:L317)-SUM($AL317:AP317)),2)))</f>
        <v>0.0</v>
      </c>
      <c r="N317" s="31">
        <f>AR317+MIN(X316+AH317-AR317,MAX(0,ROUND(ROUND(Долги!$D$19-SUM($AL317:$AU317),2)-(SUM($H317:M317)-SUM($AL317:AQ317)),2)))</f>
        <v>0.0</v>
      </c>
      <c r="O317" s="31">
        <f>AS317+MIN(Y316+AI317-AS317,MAX(0,ROUND(ROUND(Долги!$D$19-SUM($AL317:$AU317),2)-(SUM($H317:N317)-SUM($AL317:AR317)),2)))</f>
        <v>0.0</v>
      </c>
      <c r="P317" s="31">
        <f>AT317+MIN(Z316+AJ317-AT317,MAX(0,ROUND(ROUND(Долги!$D$19-SUM($AL317:$AU317),2)-(SUM($H317:O317)-SUM($AL317:AS317)),2)))</f>
        <v>0.0</v>
      </c>
      <c r="Q317" s="31">
        <f>AU317+MIN(AA316+AK317-AU317,MAX(0,ROUND(ROUND(Долги!$D$19-SUM($AL317:$AU317),2)-(SUM($H317:P317)-SUM($AL317:AT317)),2)))</f>
        <v>0.0</v>
      </c>
      <c r="R317" s="31">
        <f>IF(R316+AB317-H317&lt;=0.01,0,ROUND(R316+AB317-H317,2))</f>
        <v>0.0</v>
      </c>
      <c r="S317" s="31">
        <f>IF(S316+AC317-I317&lt;=0.01,0,ROUND(S316+AC317-I317,2))</f>
        <v>0.0</v>
      </c>
      <c r="T317" s="31">
        <f>IF(T316+AD317-J317&lt;=0.01,0,ROUND(T316+AD317-J317,2))</f>
        <v>0.0</v>
      </c>
      <c r="U317" s="31">
        <f>IF(U316+AE317-K317&lt;=0.01,0,ROUND(U316+AE317-K317,2))</f>
        <v>0.0</v>
      </c>
      <c r="V317" s="31">
        <f>IF(V316+AF317-L317&lt;=0.01,0,ROUND(V316+AF317-L317,2))</f>
        <v>0.0</v>
      </c>
      <c r="W317" s="31">
        <f>IF(W316+AG317-M317&lt;=0.01,0,ROUND(W316+AG317-M317,2))</f>
        <v>0.0</v>
      </c>
      <c r="X317" s="31">
        <f>IF(X316+AH317-N317&lt;=0.01,0,ROUND(X316+AH317-N317,2))</f>
        <v>0.0</v>
      </c>
      <c r="Y317" s="31">
        <f>IF(Y316+AI317-O317&lt;=0.01,0,ROUND(Y316+AI317-O317,2))</f>
        <v>0.0</v>
      </c>
      <c r="Z317" s="31">
        <f>IF(Z316+AJ317-P317&lt;=0.01,0,ROUND(Z316+AJ317-P317,2))</f>
        <v>0.0</v>
      </c>
      <c r="AA317" s="31">
        <f>IF(AA316+AK317-Q317&lt;=0.01,0,ROUND(AA316+AK317-Q317,2))</f>
        <v>0.0</v>
      </c>
      <c r="AB317" s="31">
        <f>ROUND(R316*AB$5/1200,2)</f>
        <v>0.0</v>
      </c>
      <c r="AC317" s="31">
        <f>ROUND(S316*AC$5/1200,2)</f>
        <v>0.0</v>
      </c>
      <c r="AD317" s="31">
        <f>ROUND(T316*AD$5/1200,2)</f>
        <v>0.0</v>
      </c>
      <c r="AE317" s="31">
        <f>ROUND(U316*AE$5/1200,2)</f>
        <v>0.0</v>
      </c>
      <c r="AF317" s="31">
        <f>ROUND(V316*AF$5/1200,2)</f>
        <v>0.0</v>
      </c>
      <c r="AG317" s="31">
        <f>ROUND(W316*AG$5/1200,2)</f>
        <v>0.0</v>
      </c>
      <c r="AH317" s="31">
        <f>ROUND(X316*AH$5/1200,2)</f>
        <v>0.0</v>
      </c>
      <c r="AI317" s="31">
        <f>ROUND(Y316*AI$5/1200,2)</f>
        <v>0.0</v>
      </c>
      <c r="AJ317" s="31">
        <f>ROUND(Z316*AJ$5/1200,2)</f>
        <v>0.0</v>
      </c>
      <c r="AK317" s="31">
        <f>ROUND(AA316*AK$5/1200,2)</f>
        <v>0.0</v>
      </c>
      <c r="AL317" s="31">
        <f>MIN(AL$5,R316+AB317)</f>
        <v>0.0</v>
      </c>
      <c r="AM317" s="31">
        <f>MIN(AM$5,S316+AC317)</f>
        <v>0.0</v>
      </c>
      <c r="AN317" s="31">
        <f>MIN(AN$5,T316+AD317)</f>
        <v>0.0</v>
      </c>
      <c r="AO317" s="31">
        <f>MIN(AO$5,U316+AE317)</f>
        <v>0.0</v>
      </c>
      <c r="AP317" s="31">
        <f>MIN(AP$5,V316+AF317)</f>
        <v>0.0</v>
      </c>
      <c r="AQ317" s="31">
        <f>MIN(AQ$5,W316+AG317)</f>
        <v>0.0</v>
      </c>
      <c r="AR317" s="31">
        <f>MIN(AR$5,X316+AH317)</f>
        <v>0.0</v>
      </c>
      <c r="AS317" s="31">
        <f>MIN(AS$5,Y316+AI317)</f>
        <v>0.0</v>
      </c>
      <c r="AT317" s="31">
        <f>MIN(AT$5,Z316+AJ317)</f>
        <v>0.0</v>
      </c>
      <c r="AU317" s="31">
        <f>MIN(AU$5,AA316+AK317)</f>
        <v>0.0</v>
      </c>
    </row>
    <row r="318">
      <c r="A318" s="25" t="str">
        <f>IF(F317&gt;0.005,313,"")</f>
        <v/>
      </c>
      <c r="B318" s="33" t="str">
        <f>IF(A318="","",EDATE(Долги!$D$5,312))</f>
        <v/>
      </c>
      <c r="C318" s="31">
        <f>SUM(H318:Q318)</f>
        <v>0.0</v>
      </c>
      <c r="D318" s="31">
        <f>SUM(AB318:AK318)</f>
        <v>0.0</v>
      </c>
      <c r="E318" s="31">
        <f>C318-D318</f>
        <v>0.0</v>
      </c>
      <c r="F318" s="31">
        <f>SUM(R318:AA318)</f>
        <v>0.0</v>
      </c>
      <c r="G318" s="34" t="str">
        <f>IF(OR(A318="",$F$5&lt;=0),"",REPT("█",ROUND(20*F318/$F$5,0)))</f>
        <v/>
      </c>
      <c r="H318" s="31">
        <f>AL318+MIN(R317+AB318-AL318,MAX(0,ROUND(Долги!$D$19-SUM($AL318:$AU318),2)))</f>
        <v>0.0</v>
      </c>
      <c r="I318" s="31">
        <f>AM318+MIN(S317+AC318-AM318,MAX(0,ROUND(ROUND(Долги!$D$19-SUM($AL318:$AU318),2)-(SUM($H318:H318)-SUM($AL318:AL318)),2)))</f>
        <v>0.0</v>
      </c>
      <c r="J318" s="31">
        <f>AN318+MIN(T317+AD318-AN318,MAX(0,ROUND(ROUND(Долги!$D$19-SUM($AL318:$AU318),2)-(SUM($H318:I318)-SUM($AL318:AM318)),2)))</f>
        <v>0.0</v>
      </c>
      <c r="K318" s="31">
        <f>AO318+MIN(U317+AE318-AO318,MAX(0,ROUND(ROUND(Долги!$D$19-SUM($AL318:$AU318),2)-(SUM($H318:J318)-SUM($AL318:AN318)),2)))</f>
        <v>0.0</v>
      </c>
      <c r="L318" s="31">
        <f>AP318+MIN(V317+AF318-AP318,MAX(0,ROUND(ROUND(Долги!$D$19-SUM($AL318:$AU318),2)-(SUM($H318:K318)-SUM($AL318:AO318)),2)))</f>
        <v>0.0</v>
      </c>
      <c r="M318" s="31">
        <f>AQ318+MIN(W317+AG318-AQ318,MAX(0,ROUND(ROUND(Долги!$D$19-SUM($AL318:$AU318),2)-(SUM($H318:L318)-SUM($AL318:AP318)),2)))</f>
        <v>0.0</v>
      </c>
      <c r="N318" s="31">
        <f>AR318+MIN(X317+AH318-AR318,MAX(0,ROUND(ROUND(Долги!$D$19-SUM($AL318:$AU318),2)-(SUM($H318:M318)-SUM($AL318:AQ318)),2)))</f>
        <v>0.0</v>
      </c>
      <c r="O318" s="31">
        <f>AS318+MIN(Y317+AI318-AS318,MAX(0,ROUND(ROUND(Долги!$D$19-SUM($AL318:$AU318),2)-(SUM($H318:N318)-SUM($AL318:AR318)),2)))</f>
        <v>0.0</v>
      </c>
      <c r="P318" s="31">
        <f>AT318+MIN(Z317+AJ318-AT318,MAX(0,ROUND(ROUND(Долги!$D$19-SUM($AL318:$AU318),2)-(SUM($H318:O318)-SUM($AL318:AS318)),2)))</f>
        <v>0.0</v>
      </c>
      <c r="Q318" s="31">
        <f>AU318+MIN(AA317+AK318-AU318,MAX(0,ROUND(ROUND(Долги!$D$19-SUM($AL318:$AU318),2)-(SUM($H318:P318)-SUM($AL318:AT318)),2)))</f>
        <v>0.0</v>
      </c>
      <c r="R318" s="31">
        <f>IF(R317+AB318-H318&lt;=0.01,0,ROUND(R317+AB318-H318,2))</f>
        <v>0.0</v>
      </c>
      <c r="S318" s="31">
        <f>IF(S317+AC318-I318&lt;=0.01,0,ROUND(S317+AC318-I318,2))</f>
        <v>0.0</v>
      </c>
      <c r="T318" s="31">
        <f>IF(T317+AD318-J318&lt;=0.01,0,ROUND(T317+AD318-J318,2))</f>
        <v>0.0</v>
      </c>
      <c r="U318" s="31">
        <f>IF(U317+AE318-K318&lt;=0.01,0,ROUND(U317+AE318-K318,2))</f>
        <v>0.0</v>
      </c>
      <c r="V318" s="31">
        <f>IF(V317+AF318-L318&lt;=0.01,0,ROUND(V317+AF318-L318,2))</f>
        <v>0.0</v>
      </c>
      <c r="W318" s="31">
        <f>IF(W317+AG318-M318&lt;=0.01,0,ROUND(W317+AG318-M318,2))</f>
        <v>0.0</v>
      </c>
      <c r="X318" s="31">
        <f>IF(X317+AH318-N318&lt;=0.01,0,ROUND(X317+AH318-N318,2))</f>
        <v>0.0</v>
      </c>
      <c r="Y318" s="31">
        <f>IF(Y317+AI318-O318&lt;=0.01,0,ROUND(Y317+AI318-O318,2))</f>
        <v>0.0</v>
      </c>
      <c r="Z318" s="31">
        <f>IF(Z317+AJ318-P318&lt;=0.01,0,ROUND(Z317+AJ318-P318,2))</f>
        <v>0.0</v>
      </c>
      <c r="AA318" s="31">
        <f>IF(AA317+AK318-Q318&lt;=0.01,0,ROUND(AA317+AK318-Q318,2))</f>
        <v>0.0</v>
      </c>
      <c r="AB318" s="31">
        <f>ROUND(R317*AB$5/1200,2)</f>
        <v>0.0</v>
      </c>
      <c r="AC318" s="31">
        <f>ROUND(S317*AC$5/1200,2)</f>
        <v>0.0</v>
      </c>
      <c r="AD318" s="31">
        <f>ROUND(T317*AD$5/1200,2)</f>
        <v>0.0</v>
      </c>
      <c r="AE318" s="31">
        <f>ROUND(U317*AE$5/1200,2)</f>
        <v>0.0</v>
      </c>
      <c r="AF318" s="31">
        <f>ROUND(V317*AF$5/1200,2)</f>
        <v>0.0</v>
      </c>
      <c r="AG318" s="31">
        <f>ROUND(W317*AG$5/1200,2)</f>
        <v>0.0</v>
      </c>
      <c r="AH318" s="31">
        <f>ROUND(X317*AH$5/1200,2)</f>
        <v>0.0</v>
      </c>
      <c r="AI318" s="31">
        <f>ROUND(Y317*AI$5/1200,2)</f>
        <v>0.0</v>
      </c>
      <c r="AJ318" s="31">
        <f>ROUND(Z317*AJ$5/1200,2)</f>
        <v>0.0</v>
      </c>
      <c r="AK318" s="31">
        <f>ROUND(AA317*AK$5/1200,2)</f>
        <v>0.0</v>
      </c>
      <c r="AL318" s="31">
        <f>MIN(AL$5,R317+AB318)</f>
        <v>0.0</v>
      </c>
      <c r="AM318" s="31">
        <f>MIN(AM$5,S317+AC318)</f>
        <v>0.0</v>
      </c>
      <c r="AN318" s="31">
        <f>MIN(AN$5,T317+AD318)</f>
        <v>0.0</v>
      </c>
      <c r="AO318" s="31">
        <f>MIN(AO$5,U317+AE318)</f>
        <v>0.0</v>
      </c>
      <c r="AP318" s="31">
        <f>MIN(AP$5,V317+AF318)</f>
        <v>0.0</v>
      </c>
      <c r="AQ318" s="31">
        <f>MIN(AQ$5,W317+AG318)</f>
        <v>0.0</v>
      </c>
      <c r="AR318" s="31">
        <f>MIN(AR$5,X317+AH318)</f>
        <v>0.0</v>
      </c>
      <c r="AS318" s="31">
        <f>MIN(AS$5,Y317+AI318)</f>
        <v>0.0</v>
      </c>
      <c r="AT318" s="31">
        <f>MIN(AT$5,Z317+AJ318)</f>
        <v>0.0</v>
      </c>
      <c r="AU318" s="31">
        <f>MIN(AU$5,AA317+AK318)</f>
        <v>0.0</v>
      </c>
    </row>
    <row r="319">
      <c r="A319" s="25" t="str">
        <f>IF(F318&gt;0.005,314,"")</f>
        <v/>
      </c>
      <c r="B319" s="33" t="str">
        <f>IF(A319="","",EDATE(Долги!$D$5,313))</f>
        <v/>
      </c>
      <c r="C319" s="31">
        <f>SUM(H319:Q319)</f>
        <v>0.0</v>
      </c>
      <c r="D319" s="31">
        <f>SUM(AB319:AK319)</f>
        <v>0.0</v>
      </c>
      <c r="E319" s="31">
        <f>C319-D319</f>
        <v>0.0</v>
      </c>
      <c r="F319" s="31">
        <f>SUM(R319:AA319)</f>
        <v>0.0</v>
      </c>
      <c r="G319" s="34" t="str">
        <f>IF(OR(A319="",$F$5&lt;=0),"",REPT("█",ROUND(20*F319/$F$5,0)))</f>
        <v/>
      </c>
      <c r="H319" s="31">
        <f>AL319+MIN(R318+AB319-AL319,MAX(0,ROUND(Долги!$D$19-SUM($AL319:$AU319),2)))</f>
        <v>0.0</v>
      </c>
      <c r="I319" s="31">
        <f>AM319+MIN(S318+AC319-AM319,MAX(0,ROUND(ROUND(Долги!$D$19-SUM($AL319:$AU319),2)-(SUM($H319:H319)-SUM($AL319:AL319)),2)))</f>
        <v>0.0</v>
      </c>
      <c r="J319" s="31">
        <f>AN319+MIN(T318+AD319-AN319,MAX(0,ROUND(ROUND(Долги!$D$19-SUM($AL319:$AU319),2)-(SUM($H319:I319)-SUM($AL319:AM319)),2)))</f>
        <v>0.0</v>
      </c>
      <c r="K319" s="31">
        <f>AO319+MIN(U318+AE319-AO319,MAX(0,ROUND(ROUND(Долги!$D$19-SUM($AL319:$AU319),2)-(SUM($H319:J319)-SUM($AL319:AN319)),2)))</f>
        <v>0.0</v>
      </c>
      <c r="L319" s="31">
        <f>AP319+MIN(V318+AF319-AP319,MAX(0,ROUND(ROUND(Долги!$D$19-SUM($AL319:$AU319),2)-(SUM($H319:K319)-SUM($AL319:AO319)),2)))</f>
        <v>0.0</v>
      </c>
      <c r="M319" s="31">
        <f>AQ319+MIN(W318+AG319-AQ319,MAX(0,ROUND(ROUND(Долги!$D$19-SUM($AL319:$AU319),2)-(SUM($H319:L319)-SUM($AL319:AP319)),2)))</f>
        <v>0.0</v>
      </c>
      <c r="N319" s="31">
        <f>AR319+MIN(X318+AH319-AR319,MAX(0,ROUND(ROUND(Долги!$D$19-SUM($AL319:$AU319),2)-(SUM($H319:M319)-SUM($AL319:AQ319)),2)))</f>
        <v>0.0</v>
      </c>
      <c r="O319" s="31">
        <f>AS319+MIN(Y318+AI319-AS319,MAX(0,ROUND(ROUND(Долги!$D$19-SUM($AL319:$AU319),2)-(SUM($H319:N319)-SUM($AL319:AR319)),2)))</f>
        <v>0.0</v>
      </c>
      <c r="P319" s="31">
        <f>AT319+MIN(Z318+AJ319-AT319,MAX(0,ROUND(ROUND(Долги!$D$19-SUM($AL319:$AU319),2)-(SUM($H319:O319)-SUM($AL319:AS319)),2)))</f>
        <v>0.0</v>
      </c>
      <c r="Q319" s="31">
        <f>AU319+MIN(AA318+AK319-AU319,MAX(0,ROUND(ROUND(Долги!$D$19-SUM($AL319:$AU319),2)-(SUM($H319:P319)-SUM($AL319:AT319)),2)))</f>
        <v>0.0</v>
      </c>
      <c r="R319" s="31">
        <f>IF(R318+AB319-H319&lt;=0.01,0,ROUND(R318+AB319-H319,2))</f>
        <v>0.0</v>
      </c>
      <c r="S319" s="31">
        <f>IF(S318+AC319-I319&lt;=0.01,0,ROUND(S318+AC319-I319,2))</f>
        <v>0.0</v>
      </c>
      <c r="T319" s="31">
        <f>IF(T318+AD319-J319&lt;=0.01,0,ROUND(T318+AD319-J319,2))</f>
        <v>0.0</v>
      </c>
      <c r="U319" s="31">
        <f>IF(U318+AE319-K319&lt;=0.01,0,ROUND(U318+AE319-K319,2))</f>
        <v>0.0</v>
      </c>
      <c r="V319" s="31">
        <f>IF(V318+AF319-L319&lt;=0.01,0,ROUND(V318+AF319-L319,2))</f>
        <v>0.0</v>
      </c>
      <c r="W319" s="31">
        <f>IF(W318+AG319-M319&lt;=0.01,0,ROUND(W318+AG319-M319,2))</f>
        <v>0.0</v>
      </c>
      <c r="X319" s="31">
        <f>IF(X318+AH319-N319&lt;=0.01,0,ROUND(X318+AH319-N319,2))</f>
        <v>0.0</v>
      </c>
      <c r="Y319" s="31">
        <f>IF(Y318+AI319-O319&lt;=0.01,0,ROUND(Y318+AI319-O319,2))</f>
        <v>0.0</v>
      </c>
      <c r="Z319" s="31">
        <f>IF(Z318+AJ319-P319&lt;=0.01,0,ROUND(Z318+AJ319-P319,2))</f>
        <v>0.0</v>
      </c>
      <c r="AA319" s="31">
        <f>IF(AA318+AK319-Q319&lt;=0.01,0,ROUND(AA318+AK319-Q319,2))</f>
        <v>0.0</v>
      </c>
      <c r="AB319" s="31">
        <f>ROUND(R318*AB$5/1200,2)</f>
        <v>0.0</v>
      </c>
      <c r="AC319" s="31">
        <f>ROUND(S318*AC$5/1200,2)</f>
        <v>0.0</v>
      </c>
      <c r="AD319" s="31">
        <f>ROUND(T318*AD$5/1200,2)</f>
        <v>0.0</v>
      </c>
      <c r="AE319" s="31">
        <f>ROUND(U318*AE$5/1200,2)</f>
        <v>0.0</v>
      </c>
      <c r="AF319" s="31">
        <f>ROUND(V318*AF$5/1200,2)</f>
        <v>0.0</v>
      </c>
      <c r="AG319" s="31">
        <f>ROUND(W318*AG$5/1200,2)</f>
        <v>0.0</v>
      </c>
      <c r="AH319" s="31">
        <f>ROUND(X318*AH$5/1200,2)</f>
        <v>0.0</v>
      </c>
      <c r="AI319" s="31">
        <f>ROUND(Y318*AI$5/1200,2)</f>
        <v>0.0</v>
      </c>
      <c r="AJ319" s="31">
        <f>ROUND(Z318*AJ$5/1200,2)</f>
        <v>0.0</v>
      </c>
      <c r="AK319" s="31">
        <f>ROUND(AA318*AK$5/1200,2)</f>
        <v>0.0</v>
      </c>
      <c r="AL319" s="31">
        <f>MIN(AL$5,R318+AB319)</f>
        <v>0.0</v>
      </c>
      <c r="AM319" s="31">
        <f>MIN(AM$5,S318+AC319)</f>
        <v>0.0</v>
      </c>
      <c r="AN319" s="31">
        <f>MIN(AN$5,T318+AD319)</f>
        <v>0.0</v>
      </c>
      <c r="AO319" s="31">
        <f>MIN(AO$5,U318+AE319)</f>
        <v>0.0</v>
      </c>
      <c r="AP319" s="31">
        <f>MIN(AP$5,V318+AF319)</f>
        <v>0.0</v>
      </c>
      <c r="AQ319" s="31">
        <f>MIN(AQ$5,W318+AG319)</f>
        <v>0.0</v>
      </c>
      <c r="AR319" s="31">
        <f>MIN(AR$5,X318+AH319)</f>
        <v>0.0</v>
      </c>
      <c r="AS319" s="31">
        <f>MIN(AS$5,Y318+AI319)</f>
        <v>0.0</v>
      </c>
      <c r="AT319" s="31">
        <f>MIN(AT$5,Z318+AJ319)</f>
        <v>0.0</v>
      </c>
      <c r="AU319" s="31">
        <f>MIN(AU$5,AA318+AK319)</f>
        <v>0.0</v>
      </c>
    </row>
    <row r="320">
      <c r="A320" s="25" t="str">
        <f>IF(F319&gt;0.005,315,"")</f>
        <v/>
      </c>
      <c r="B320" s="33" t="str">
        <f>IF(A320="","",EDATE(Долги!$D$5,314))</f>
        <v/>
      </c>
      <c r="C320" s="31">
        <f>SUM(H320:Q320)</f>
        <v>0.0</v>
      </c>
      <c r="D320" s="31">
        <f>SUM(AB320:AK320)</f>
        <v>0.0</v>
      </c>
      <c r="E320" s="31">
        <f>C320-D320</f>
        <v>0.0</v>
      </c>
      <c r="F320" s="31">
        <f>SUM(R320:AA320)</f>
        <v>0.0</v>
      </c>
      <c r="G320" s="34" t="str">
        <f>IF(OR(A320="",$F$5&lt;=0),"",REPT("█",ROUND(20*F320/$F$5,0)))</f>
        <v/>
      </c>
      <c r="H320" s="31">
        <f>AL320+MIN(R319+AB320-AL320,MAX(0,ROUND(Долги!$D$19-SUM($AL320:$AU320),2)))</f>
        <v>0.0</v>
      </c>
      <c r="I320" s="31">
        <f>AM320+MIN(S319+AC320-AM320,MAX(0,ROUND(ROUND(Долги!$D$19-SUM($AL320:$AU320),2)-(SUM($H320:H320)-SUM($AL320:AL320)),2)))</f>
        <v>0.0</v>
      </c>
      <c r="J320" s="31">
        <f>AN320+MIN(T319+AD320-AN320,MAX(0,ROUND(ROUND(Долги!$D$19-SUM($AL320:$AU320),2)-(SUM($H320:I320)-SUM($AL320:AM320)),2)))</f>
        <v>0.0</v>
      </c>
      <c r="K320" s="31">
        <f>AO320+MIN(U319+AE320-AO320,MAX(0,ROUND(ROUND(Долги!$D$19-SUM($AL320:$AU320),2)-(SUM($H320:J320)-SUM($AL320:AN320)),2)))</f>
        <v>0.0</v>
      </c>
      <c r="L320" s="31">
        <f>AP320+MIN(V319+AF320-AP320,MAX(0,ROUND(ROUND(Долги!$D$19-SUM($AL320:$AU320),2)-(SUM($H320:K320)-SUM($AL320:AO320)),2)))</f>
        <v>0.0</v>
      </c>
      <c r="M320" s="31">
        <f>AQ320+MIN(W319+AG320-AQ320,MAX(0,ROUND(ROUND(Долги!$D$19-SUM($AL320:$AU320),2)-(SUM($H320:L320)-SUM($AL320:AP320)),2)))</f>
        <v>0.0</v>
      </c>
      <c r="N320" s="31">
        <f>AR320+MIN(X319+AH320-AR320,MAX(0,ROUND(ROUND(Долги!$D$19-SUM($AL320:$AU320),2)-(SUM($H320:M320)-SUM($AL320:AQ320)),2)))</f>
        <v>0.0</v>
      </c>
      <c r="O320" s="31">
        <f>AS320+MIN(Y319+AI320-AS320,MAX(0,ROUND(ROUND(Долги!$D$19-SUM($AL320:$AU320),2)-(SUM($H320:N320)-SUM($AL320:AR320)),2)))</f>
        <v>0.0</v>
      </c>
      <c r="P320" s="31">
        <f>AT320+MIN(Z319+AJ320-AT320,MAX(0,ROUND(ROUND(Долги!$D$19-SUM($AL320:$AU320),2)-(SUM($H320:O320)-SUM($AL320:AS320)),2)))</f>
        <v>0.0</v>
      </c>
      <c r="Q320" s="31">
        <f>AU320+MIN(AA319+AK320-AU320,MAX(0,ROUND(ROUND(Долги!$D$19-SUM($AL320:$AU320),2)-(SUM($H320:P320)-SUM($AL320:AT320)),2)))</f>
        <v>0.0</v>
      </c>
      <c r="R320" s="31">
        <f>IF(R319+AB320-H320&lt;=0.01,0,ROUND(R319+AB320-H320,2))</f>
        <v>0.0</v>
      </c>
      <c r="S320" s="31">
        <f>IF(S319+AC320-I320&lt;=0.01,0,ROUND(S319+AC320-I320,2))</f>
        <v>0.0</v>
      </c>
      <c r="T320" s="31">
        <f>IF(T319+AD320-J320&lt;=0.01,0,ROUND(T319+AD320-J320,2))</f>
        <v>0.0</v>
      </c>
      <c r="U320" s="31">
        <f>IF(U319+AE320-K320&lt;=0.01,0,ROUND(U319+AE320-K320,2))</f>
        <v>0.0</v>
      </c>
      <c r="V320" s="31">
        <f>IF(V319+AF320-L320&lt;=0.01,0,ROUND(V319+AF320-L320,2))</f>
        <v>0.0</v>
      </c>
      <c r="W320" s="31">
        <f>IF(W319+AG320-M320&lt;=0.01,0,ROUND(W319+AG320-M320,2))</f>
        <v>0.0</v>
      </c>
      <c r="X320" s="31">
        <f>IF(X319+AH320-N320&lt;=0.01,0,ROUND(X319+AH320-N320,2))</f>
        <v>0.0</v>
      </c>
      <c r="Y320" s="31">
        <f>IF(Y319+AI320-O320&lt;=0.01,0,ROUND(Y319+AI320-O320,2))</f>
        <v>0.0</v>
      </c>
      <c r="Z320" s="31">
        <f>IF(Z319+AJ320-P320&lt;=0.01,0,ROUND(Z319+AJ320-P320,2))</f>
        <v>0.0</v>
      </c>
      <c r="AA320" s="31">
        <f>IF(AA319+AK320-Q320&lt;=0.01,0,ROUND(AA319+AK320-Q320,2))</f>
        <v>0.0</v>
      </c>
      <c r="AB320" s="31">
        <f>ROUND(R319*AB$5/1200,2)</f>
        <v>0.0</v>
      </c>
      <c r="AC320" s="31">
        <f>ROUND(S319*AC$5/1200,2)</f>
        <v>0.0</v>
      </c>
      <c r="AD320" s="31">
        <f>ROUND(T319*AD$5/1200,2)</f>
        <v>0.0</v>
      </c>
      <c r="AE320" s="31">
        <f>ROUND(U319*AE$5/1200,2)</f>
        <v>0.0</v>
      </c>
      <c r="AF320" s="31">
        <f>ROUND(V319*AF$5/1200,2)</f>
        <v>0.0</v>
      </c>
      <c r="AG320" s="31">
        <f>ROUND(W319*AG$5/1200,2)</f>
        <v>0.0</v>
      </c>
      <c r="AH320" s="31">
        <f>ROUND(X319*AH$5/1200,2)</f>
        <v>0.0</v>
      </c>
      <c r="AI320" s="31">
        <f>ROUND(Y319*AI$5/1200,2)</f>
        <v>0.0</v>
      </c>
      <c r="AJ320" s="31">
        <f>ROUND(Z319*AJ$5/1200,2)</f>
        <v>0.0</v>
      </c>
      <c r="AK320" s="31">
        <f>ROUND(AA319*AK$5/1200,2)</f>
        <v>0.0</v>
      </c>
      <c r="AL320" s="31">
        <f>MIN(AL$5,R319+AB320)</f>
        <v>0.0</v>
      </c>
      <c r="AM320" s="31">
        <f>MIN(AM$5,S319+AC320)</f>
        <v>0.0</v>
      </c>
      <c r="AN320" s="31">
        <f>MIN(AN$5,T319+AD320)</f>
        <v>0.0</v>
      </c>
      <c r="AO320" s="31">
        <f>MIN(AO$5,U319+AE320)</f>
        <v>0.0</v>
      </c>
      <c r="AP320" s="31">
        <f>MIN(AP$5,V319+AF320)</f>
        <v>0.0</v>
      </c>
      <c r="AQ320" s="31">
        <f>MIN(AQ$5,W319+AG320)</f>
        <v>0.0</v>
      </c>
      <c r="AR320" s="31">
        <f>MIN(AR$5,X319+AH320)</f>
        <v>0.0</v>
      </c>
      <c r="AS320" s="31">
        <f>MIN(AS$5,Y319+AI320)</f>
        <v>0.0</v>
      </c>
      <c r="AT320" s="31">
        <f>MIN(AT$5,Z319+AJ320)</f>
        <v>0.0</v>
      </c>
      <c r="AU320" s="31">
        <f>MIN(AU$5,AA319+AK320)</f>
        <v>0.0</v>
      </c>
    </row>
    <row r="321">
      <c r="A321" s="25" t="str">
        <f>IF(F320&gt;0.005,316,"")</f>
        <v/>
      </c>
      <c r="B321" s="33" t="str">
        <f>IF(A321="","",EDATE(Долги!$D$5,315))</f>
        <v/>
      </c>
      <c r="C321" s="31">
        <f>SUM(H321:Q321)</f>
        <v>0.0</v>
      </c>
      <c r="D321" s="31">
        <f>SUM(AB321:AK321)</f>
        <v>0.0</v>
      </c>
      <c r="E321" s="31">
        <f>C321-D321</f>
        <v>0.0</v>
      </c>
      <c r="F321" s="31">
        <f>SUM(R321:AA321)</f>
        <v>0.0</v>
      </c>
      <c r="G321" s="34" t="str">
        <f>IF(OR(A321="",$F$5&lt;=0),"",REPT("█",ROUND(20*F321/$F$5,0)))</f>
        <v/>
      </c>
      <c r="H321" s="31">
        <f>AL321+MIN(R320+AB321-AL321,MAX(0,ROUND(Долги!$D$19-SUM($AL321:$AU321),2)))</f>
        <v>0.0</v>
      </c>
      <c r="I321" s="31">
        <f>AM321+MIN(S320+AC321-AM321,MAX(0,ROUND(ROUND(Долги!$D$19-SUM($AL321:$AU321),2)-(SUM($H321:H321)-SUM($AL321:AL321)),2)))</f>
        <v>0.0</v>
      </c>
      <c r="J321" s="31">
        <f>AN321+MIN(T320+AD321-AN321,MAX(0,ROUND(ROUND(Долги!$D$19-SUM($AL321:$AU321),2)-(SUM($H321:I321)-SUM($AL321:AM321)),2)))</f>
        <v>0.0</v>
      </c>
      <c r="K321" s="31">
        <f>AO321+MIN(U320+AE321-AO321,MAX(0,ROUND(ROUND(Долги!$D$19-SUM($AL321:$AU321),2)-(SUM($H321:J321)-SUM($AL321:AN321)),2)))</f>
        <v>0.0</v>
      </c>
      <c r="L321" s="31">
        <f>AP321+MIN(V320+AF321-AP321,MAX(0,ROUND(ROUND(Долги!$D$19-SUM($AL321:$AU321),2)-(SUM($H321:K321)-SUM($AL321:AO321)),2)))</f>
        <v>0.0</v>
      </c>
      <c r="M321" s="31">
        <f>AQ321+MIN(W320+AG321-AQ321,MAX(0,ROUND(ROUND(Долги!$D$19-SUM($AL321:$AU321),2)-(SUM($H321:L321)-SUM($AL321:AP321)),2)))</f>
        <v>0.0</v>
      </c>
      <c r="N321" s="31">
        <f>AR321+MIN(X320+AH321-AR321,MAX(0,ROUND(ROUND(Долги!$D$19-SUM($AL321:$AU321),2)-(SUM($H321:M321)-SUM($AL321:AQ321)),2)))</f>
        <v>0.0</v>
      </c>
      <c r="O321" s="31">
        <f>AS321+MIN(Y320+AI321-AS321,MAX(0,ROUND(ROUND(Долги!$D$19-SUM($AL321:$AU321),2)-(SUM($H321:N321)-SUM($AL321:AR321)),2)))</f>
        <v>0.0</v>
      </c>
      <c r="P321" s="31">
        <f>AT321+MIN(Z320+AJ321-AT321,MAX(0,ROUND(ROUND(Долги!$D$19-SUM($AL321:$AU321),2)-(SUM($H321:O321)-SUM($AL321:AS321)),2)))</f>
        <v>0.0</v>
      </c>
      <c r="Q321" s="31">
        <f>AU321+MIN(AA320+AK321-AU321,MAX(0,ROUND(ROUND(Долги!$D$19-SUM($AL321:$AU321),2)-(SUM($H321:P321)-SUM($AL321:AT321)),2)))</f>
        <v>0.0</v>
      </c>
      <c r="R321" s="31">
        <f>IF(R320+AB321-H321&lt;=0.01,0,ROUND(R320+AB321-H321,2))</f>
        <v>0.0</v>
      </c>
      <c r="S321" s="31">
        <f>IF(S320+AC321-I321&lt;=0.01,0,ROUND(S320+AC321-I321,2))</f>
        <v>0.0</v>
      </c>
      <c r="T321" s="31">
        <f>IF(T320+AD321-J321&lt;=0.01,0,ROUND(T320+AD321-J321,2))</f>
        <v>0.0</v>
      </c>
      <c r="U321" s="31">
        <f>IF(U320+AE321-K321&lt;=0.01,0,ROUND(U320+AE321-K321,2))</f>
        <v>0.0</v>
      </c>
      <c r="V321" s="31">
        <f>IF(V320+AF321-L321&lt;=0.01,0,ROUND(V320+AF321-L321,2))</f>
        <v>0.0</v>
      </c>
      <c r="W321" s="31">
        <f>IF(W320+AG321-M321&lt;=0.01,0,ROUND(W320+AG321-M321,2))</f>
        <v>0.0</v>
      </c>
      <c r="X321" s="31">
        <f>IF(X320+AH321-N321&lt;=0.01,0,ROUND(X320+AH321-N321,2))</f>
        <v>0.0</v>
      </c>
      <c r="Y321" s="31">
        <f>IF(Y320+AI321-O321&lt;=0.01,0,ROUND(Y320+AI321-O321,2))</f>
        <v>0.0</v>
      </c>
      <c r="Z321" s="31">
        <f>IF(Z320+AJ321-P321&lt;=0.01,0,ROUND(Z320+AJ321-P321,2))</f>
        <v>0.0</v>
      </c>
      <c r="AA321" s="31">
        <f>IF(AA320+AK321-Q321&lt;=0.01,0,ROUND(AA320+AK321-Q321,2))</f>
        <v>0.0</v>
      </c>
      <c r="AB321" s="31">
        <f>ROUND(R320*AB$5/1200,2)</f>
        <v>0.0</v>
      </c>
      <c r="AC321" s="31">
        <f>ROUND(S320*AC$5/1200,2)</f>
        <v>0.0</v>
      </c>
      <c r="AD321" s="31">
        <f>ROUND(T320*AD$5/1200,2)</f>
        <v>0.0</v>
      </c>
      <c r="AE321" s="31">
        <f>ROUND(U320*AE$5/1200,2)</f>
        <v>0.0</v>
      </c>
      <c r="AF321" s="31">
        <f>ROUND(V320*AF$5/1200,2)</f>
        <v>0.0</v>
      </c>
      <c r="AG321" s="31">
        <f>ROUND(W320*AG$5/1200,2)</f>
        <v>0.0</v>
      </c>
      <c r="AH321" s="31">
        <f>ROUND(X320*AH$5/1200,2)</f>
        <v>0.0</v>
      </c>
      <c r="AI321" s="31">
        <f>ROUND(Y320*AI$5/1200,2)</f>
        <v>0.0</v>
      </c>
      <c r="AJ321" s="31">
        <f>ROUND(Z320*AJ$5/1200,2)</f>
        <v>0.0</v>
      </c>
      <c r="AK321" s="31">
        <f>ROUND(AA320*AK$5/1200,2)</f>
        <v>0.0</v>
      </c>
      <c r="AL321" s="31">
        <f>MIN(AL$5,R320+AB321)</f>
        <v>0.0</v>
      </c>
      <c r="AM321" s="31">
        <f>MIN(AM$5,S320+AC321)</f>
        <v>0.0</v>
      </c>
      <c r="AN321" s="31">
        <f>MIN(AN$5,T320+AD321)</f>
        <v>0.0</v>
      </c>
      <c r="AO321" s="31">
        <f>MIN(AO$5,U320+AE321)</f>
        <v>0.0</v>
      </c>
      <c r="AP321" s="31">
        <f>MIN(AP$5,V320+AF321)</f>
        <v>0.0</v>
      </c>
      <c r="AQ321" s="31">
        <f>MIN(AQ$5,W320+AG321)</f>
        <v>0.0</v>
      </c>
      <c r="AR321" s="31">
        <f>MIN(AR$5,X320+AH321)</f>
        <v>0.0</v>
      </c>
      <c r="AS321" s="31">
        <f>MIN(AS$5,Y320+AI321)</f>
        <v>0.0</v>
      </c>
      <c r="AT321" s="31">
        <f>MIN(AT$5,Z320+AJ321)</f>
        <v>0.0</v>
      </c>
      <c r="AU321" s="31">
        <f>MIN(AU$5,AA320+AK321)</f>
        <v>0.0</v>
      </c>
    </row>
    <row r="322">
      <c r="A322" s="25" t="str">
        <f>IF(F321&gt;0.005,317,"")</f>
        <v/>
      </c>
      <c r="B322" s="33" t="str">
        <f>IF(A322="","",EDATE(Долги!$D$5,316))</f>
        <v/>
      </c>
      <c r="C322" s="31">
        <f>SUM(H322:Q322)</f>
        <v>0.0</v>
      </c>
      <c r="D322" s="31">
        <f>SUM(AB322:AK322)</f>
        <v>0.0</v>
      </c>
      <c r="E322" s="31">
        <f>C322-D322</f>
        <v>0.0</v>
      </c>
      <c r="F322" s="31">
        <f>SUM(R322:AA322)</f>
        <v>0.0</v>
      </c>
      <c r="G322" s="34" t="str">
        <f>IF(OR(A322="",$F$5&lt;=0),"",REPT("█",ROUND(20*F322/$F$5,0)))</f>
        <v/>
      </c>
      <c r="H322" s="31">
        <f>AL322+MIN(R321+AB322-AL322,MAX(0,ROUND(Долги!$D$19-SUM($AL322:$AU322),2)))</f>
        <v>0.0</v>
      </c>
      <c r="I322" s="31">
        <f>AM322+MIN(S321+AC322-AM322,MAX(0,ROUND(ROUND(Долги!$D$19-SUM($AL322:$AU322),2)-(SUM($H322:H322)-SUM($AL322:AL322)),2)))</f>
        <v>0.0</v>
      </c>
      <c r="J322" s="31">
        <f>AN322+MIN(T321+AD322-AN322,MAX(0,ROUND(ROUND(Долги!$D$19-SUM($AL322:$AU322),2)-(SUM($H322:I322)-SUM($AL322:AM322)),2)))</f>
        <v>0.0</v>
      </c>
      <c r="K322" s="31">
        <f>AO322+MIN(U321+AE322-AO322,MAX(0,ROUND(ROUND(Долги!$D$19-SUM($AL322:$AU322),2)-(SUM($H322:J322)-SUM($AL322:AN322)),2)))</f>
        <v>0.0</v>
      </c>
      <c r="L322" s="31">
        <f>AP322+MIN(V321+AF322-AP322,MAX(0,ROUND(ROUND(Долги!$D$19-SUM($AL322:$AU322),2)-(SUM($H322:K322)-SUM($AL322:AO322)),2)))</f>
        <v>0.0</v>
      </c>
      <c r="M322" s="31">
        <f>AQ322+MIN(W321+AG322-AQ322,MAX(0,ROUND(ROUND(Долги!$D$19-SUM($AL322:$AU322),2)-(SUM($H322:L322)-SUM($AL322:AP322)),2)))</f>
        <v>0.0</v>
      </c>
      <c r="N322" s="31">
        <f>AR322+MIN(X321+AH322-AR322,MAX(0,ROUND(ROUND(Долги!$D$19-SUM($AL322:$AU322),2)-(SUM($H322:M322)-SUM($AL322:AQ322)),2)))</f>
        <v>0.0</v>
      </c>
      <c r="O322" s="31">
        <f>AS322+MIN(Y321+AI322-AS322,MAX(0,ROUND(ROUND(Долги!$D$19-SUM($AL322:$AU322),2)-(SUM($H322:N322)-SUM($AL322:AR322)),2)))</f>
        <v>0.0</v>
      </c>
      <c r="P322" s="31">
        <f>AT322+MIN(Z321+AJ322-AT322,MAX(0,ROUND(ROUND(Долги!$D$19-SUM($AL322:$AU322),2)-(SUM($H322:O322)-SUM($AL322:AS322)),2)))</f>
        <v>0.0</v>
      </c>
      <c r="Q322" s="31">
        <f>AU322+MIN(AA321+AK322-AU322,MAX(0,ROUND(ROUND(Долги!$D$19-SUM($AL322:$AU322),2)-(SUM($H322:P322)-SUM($AL322:AT322)),2)))</f>
        <v>0.0</v>
      </c>
      <c r="R322" s="31">
        <f>IF(R321+AB322-H322&lt;=0.01,0,ROUND(R321+AB322-H322,2))</f>
        <v>0.0</v>
      </c>
      <c r="S322" s="31">
        <f>IF(S321+AC322-I322&lt;=0.01,0,ROUND(S321+AC322-I322,2))</f>
        <v>0.0</v>
      </c>
      <c r="T322" s="31">
        <f>IF(T321+AD322-J322&lt;=0.01,0,ROUND(T321+AD322-J322,2))</f>
        <v>0.0</v>
      </c>
      <c r="U322" s="31">
        <f>IF(U321+AE322-K322&lt;=0.01,0,ROUND(U321+AE322-K322,2))</f>
        <v>0.0</v>
      </c>
      <c r="V322" s="31">
        <f>IF(V321+AF322-L322&lt;=0.01,0,ROUND(V321+AF322-L322,2))</f>
        <v>0.0</v>
      </c>
      <c r="W322" s="31">
        <f>IF(W321+AG322-M322&lt;=0.01,0,ROUND(W321+AG322-M322,2))</f>
        <v>0.0</v>
      </c>
      <c r="X322" s="31">
        <f>IF(X321+AH322-N322&lt;=0.01,0,ROUND(X321+AH322-N322,2))</f>
        <v>0.0</v>
      </c>
      <c r="Y322" s="31">
        <f>IF(Y321+AI322-O322&lt;=0.01,0,ROUND(Y321+AI322-O322,2))</f>
        <v>0.0</v>
      </c>
      <c r="Z322" s="31">
        <f>IF(Z321+AJ322-P322&lt;=0.01,0,ROUND(Z321+AJ322-P322,2))</f>
        <v>0.0</v>
      </c>
      <c r="AA322" s="31">
        <f>IF(AA321+AK322-Q322&lt;=0.01,0,ROUND(AA321+AK322-Q322,2))</f>
        <v>0.0</v>
      </c>
      <c r="AB322" s="31">
        <f>ROUND(R321*AB$5/1200,2)</f>
        <v>0.0</v>
      </c>
      <c r="AC322" s="31">
        <f>ROUND(S321*AC$5/1200,2)</f>
        <v>0.0</v>
      </c>
      <c r="AD322" s="31">
        <f>ROUND(T321*AD$5/1200,2)</f>
        <v>0.0</v>
      </c>
      <c r="AE322" s="31">
        <f>ROUND(U321*AE$5/1200,2)</f>
        <v>0.0</v>
      </c>
      <c r="AF322" s="31">
        <f>ROUND(V321*AF$5/1200,2)</f>
        <v>0.0</v>
      </c>
      <c r="AG322" s="31">
        <f>ROUND(W321*AG$5/1200,2)</f>
        <v>0.0</v>
      </c>
      <c r="AH322" s="31">
        <f>ROUND(X321*AH$5/1200,2)</f>
        <v>0.0</v>
      </c>
      <c r="AI322" s="31">
        <f>ROUND(Y321*AI$5/1200,2)</f>
        <v>0.0</v>
      </c>
      <c r="AJ322" s="31">
        <f>ROUND(Z321*AJ$5/1200,2)</f>
        <v>0.0</v>
      </c>
      <c r="AK322" s="31">
        <f>ROUND(AA321*AK$5/1200,2)</f>
        <v>0.0</v>
      </c>
      <c r="AL322" s="31">
        <f>MIN(AL$5,R321+AB322)</f>
        <v>0.0</v>
      </c>
      <c r="AM322" s="31">
        <f>MIN(AM$5,S321+AC322)</f>
        <v>0.0</v>
      </c>
      <c r="AN322" s="31">
        <f>MIN(AN$5,T321+AD322)</f>
        <v>0.0</v>
      </c>
      <c r="AO322" s="31">
        <f>MIN(AO$5,U321+AE322)</f>
        <v>0.0</v>
      </c>
      <c r="AP322" s="31">
        <f>MIN(AP$5,V321+AF322)</f>
        <v>0.0</v>
      </c>
      <c r="AQ322" s="31">
        <f>MIN(AQ$5,W321+AG322)</f>
        <v>0.0</v>
      </c>
      <c r="AR322" s="31">
        <f>MIN(AR$5,X321+AH322)</f>
        <v>0.0</v>
      </c>
      <c r="AS322" s="31">
        <f>MIN(AS$5,Y321+AI322)</f>
        <v>0.0</v>
      </c>
      <c r="AT322" s="31">
        <f>MIN(AT$5,Z321+AJ322)</f>
        <v>0.0</v>
      </c>
      <c r="AU322" s="31">
        <f>MIN(AU$5,AA321+AK322)</f>
        <v>0.0</v>
      </c>
    </row>
    <row r="323">
      <c r="A323" s="25" t="str">
        <f>IF(F322&gt;0.005,318,"")</f>
        <v/>
      </c>
      <c r="B323" s="33" t="str">
        <f>IF(A323="","",EDATE(Долги!$D$5,317))</f>
        <v/>
      </c>
      <c r="C323" s="31">
        <f>SUM(H323:Q323)</f>
        <v>0.0</v>
      </c>
      <c r="D323" s="31">
        <f>SUM(AB323:AK323)</f>
        <v>0.0</v>
      </c>
      <c r="E323" s="31">
        <f>C323-D323</f>
        <v>0.0</v>
      </c>
      <c r="F323" s="31">
        <f>SUM(R323:AA323)</f>
        <v>0.0</v>
      </c>
      <c r="G323" s="34" t="str">
        <f>IF(OR(A323="",$F$5&lt;=0),"",REPT("█",ROUND(20*F323/$F$5,0)))</f>
        <v/>
      </c>
      <c r="H323" s="31">
        <f>AL323+MIN(R322+AB323-AL323,MAX(0,ROUND(Долги!$D$19-SUM($AL323:$AU323),2)))</f>
        <v>0.0</v>
      </c>
      <c r="I323" s="31">
        <f>AM323+MIN(S322+AC323-AM323,MAX(0,ROUND(ROUND(Долги!$D$19-SUM($AL323:$AU323),2)-(SUM($H323:H323)-SUM($AL323:AL323)),2)))</f>
        <v>0.0</v>
      </c>
      <c r="J323" s="31">
        <f>AN323+MIN(T322+AD323-AN323,MAX(0,ROUND(ROUND(Долги!$D$19-SUM($AL323:$AU323),2)-(SUM($H323:I323)-SUM($AL323:AM323)),2)))</f>
        <v>0.0</v>
      </c>
      <c r="K323" s="31">
        <f>AO323+MIN(U322+AE323-AO323,MAX(0,ROUND(ROUND(Долги!$D$19-SUM($AL323:$AU323),2)-(SUM($H323:J323)-SUM($AL323:AN323)),2)))</f>
        <v>0.0</v>
      </c>
      <c r="L323" s="31">
        <f>AP323+MIN(V322+AF323-AP323,MAX(0,ROUND(ROUND(Долги!$D$19-SUM($AL323:$AU323),2)-(SUM($H323:K323)-SUM($AL323:AO323)),2)))</f>
        <v>0.0</v>
      </c>
      <c r="M323" s="31">
        <f>AQ323+MIN(W322+AG323-AQ323,MAX(0,ROUND(ROUND(Долги!$D$19-SUM($AL323:$AU323),2)-(SUM($H323:L323)-SUM($AL323:AP323)),2)))</f>
        <v>0.0</v>
      </c>
      <c r="N323" s="31">
        <f>AR323+MIN(X322+AH323-AR323,MAX(0,ROUND(ROUND(Долги!$D$19-SUM($AL323:$AU323),2)-(SUM($H323:M323)-SUM($AL323:AQ323)),2)))</f>
        <v>0.0</v>
      </c>
      <c r="O323" s="31">
        <f>AS323+MIN(Y322+AI323-AS323,MAX(0,ROUND(ROUND(Долги!$D$19-SUM($AL323:$AU323),2)-(SUM($H323:N323)-SUM($AL323:AR323)),2)))</f>
        <v>0.0</v>
      </c>
      <c r="P323" s="31">
        <f>AT323+MIN(Z322+AJ323-AT323,MAX(0,ROUND(ROUND(Долги!$D$19-SUM($AL323:$AU323),2)-(SUM($H323:O323)-SUM($AL323:AS323)),2)))</f>
        <v>0.0</v>
      </c>
      <c r="Q323" s="31">
        <f>AU323+MIN(AA322+AK323-AU323,MAX(0,ROUND(ROUND(Долги!$D$19-SUM($AL323:$AU323),2)-(SUM($H323:P323)-SUM($AL323:AT323)),2)))</f>
        <v>0.0</v>
      </c>
      <c r="R323" s="31">
        <f>IF(R322+AB323-H323&lt;=0.01,0,ROUND(R322+AB323-H323,2))</f>
        <v>0.0</v>
      </c>
      <c r="S323" s="31">
        <f>IF(S322+AC323-I323&lt;=0.01,0,ROUND(S322+AC323-I323,2))</f>
        <v>0.0</v>
      </c>
      <c r="T323" s="31">
        <f>IF(T322+AD323-J323&lt;=0.01,0,ROUND(T322+AD323-J323,2))</f>
        <v>0.0</v>
      </c>
      <c r="U323" s="31">
        <f>IF(U322+AE323-K323&lt;=0.01,0,ROUND(U322+AE323-K323,2))</f>
        <v>0.0</v>
      </c>
      <c r="V323" s="31">
        <f>IF(V322+AF323-L323&lt;=0.01,0,ROUND(V322+AF323-L323,2))</f>
        <v>0.0</v>
      </c>
      <c r="W323" s="31">
        <f>IF(W322+AG323-M323&lt;=0.01,0,ROUND(W322+AG323-M323,2))</f>
        <v>0.0</v>
      </c>
      <c r="X323" s="31">
        <f>IF(X322+AH323-N323&lt;=0.01,0,ROUND(X322+AH323-N323,2))</f>
        <v>0.0</v>
      </c>
      <c r="Y323" s="31">
        <f>IF(Y322+AI323-O323&lt;=0.01,0,ROUND(Y322+AI323-O323,2))</f>
        <v>0.0</v>
      </c>
      <c r="Z323" s="31">
        <f>IF(Z322+AJ323-P323&lt;=0.01,0,ROUND(Z322+AJ323-P323,2))</f>
        <v>0.0</v>
      </c>
      <c r="AA323" s="31">
        <f>IF(AA322+AK323-Q323&lt;=0.01,0,ROUND(AA322+AK323-Q323,2))</f>
        <v>0.0</v>
      </c>
      <c r="AB323" s="31">
        <f>ROUND(R322*AB$5/1200,2)</f>
        <v>0.0</v>
      </c>
      <c r="AC323" s="31">
        <f>ROUND(S322*AC$5/1200,2)</f>
        <v>0.0</v>
      </c>
      <c r="AD323" s="31">
        <f>ROUND(T322*AD$5/1200,2)</f>
        <v>0.0</v>
      </c>
      <c r="AE323" s="31">
        <f>ROUND(U322*AE$5/1200,2)</f>
        <v>0.0</v>
      </c>
      <c r="AF323" s="31">
        <f>ROUND(V322*AF$5/1200,2)</f>
        <v>0.0</v>
      </c>
      <c r="AG323" s="31">
        <f>ROUND(W322*AG$5/1200,2)</f>
        <v>0.0</v>
      </c>
      <c r="AH323" s="31">
        <f>ROUND(X322*AH$5/1200,2)</f>
        <v>0.0</v>
      </c>
      <c r="AI323" s="31">
        <f>ROUND(Y322*AI$5/1200,2)</f>
        <v>0.0</v>
      </c>
      <c r="AJ323" s="31">
        <f>ROUND(Z322*AJ$5/1200,2)</f>
        <v>0.0</v>
      </c>
      <c r="AK323" s="31">
        <f>ROUND(AA322*AK$5/1200,2)</f>
        <v>0.0</v>
      </c>
      <c r="AL323" s="31">
        <f>MIN(AL$5,R322+AB323)</f>
        <v>0.0</v>
      </c>
      <c r="AM323" s="31">
        <f>MIN(AM$5,S322+AC323)</f>
        <v>0.0</v>
      </c>
      <c r="AN323" s="31">
        <f>MIN(AN$5,T322+AD323)</f>
        <v>0.0</v>
      </c>
      <c r="AO323" s="31">
        <f>MIN(AO$5,U322+AE323)</f>
        <v>0.0</v>
      </c>
      <c r="AP323" s="31">
        <f>MIN(AP$5,V322+AF323)</f>
        <v>0.0</v>
      </c>
      <c r="AQ323" s="31">
        <f>MIN(AQ$5,W322+AG323)</f>
        <v>0.0</v>
      </c>
      <c r="AR323" s="31">
        <f>MIN(AR$5,X322+AH323)</f>
        <v>0.0</v>
      </c>
      <c r="AS323" s="31">
        <f>MIN(AS$5,Y322+AI323)</f>
        <v>0.0</v>
      </c>
      <c r="AT323" s="31">
        <f>MIN(AT$5,Z322+AJ323)</f>
        <v>0.0</v>
      </c>
      <c r="AU323" s="31">
        <f>MIN(AU$5,AA322+AK323)</f>
        <v>0.0</v>
      </c>
    </row>
    <row r="324">
      <c r="A324" s="25" t="str">
        <f>IF(F323&gt;0.005,319,"")</f>
        <v/>
      </c>
      <c r="B324" s="33" t="str">
        <f>IF(A324="","",EDATE(Долги!$D$5,318))</f>
        <v/>
      </c>
      <c r="C324" s="31">
        <f>SUM(H324:Q324)</f>
        <v>0.0</v>
      </c>
      <c r="D324" s="31">
        <f>SUM(AB324:AK324)</f>
        <v>0.0</v>
      </c>
      <c r="E324" s="31">
        <f>C324-D324</f>
        <v>0.0</v>
      </c>
      <c r="F324" s="31">
        <f>SUM(R324:AA324)</f>
        <v>0.0</v>
      </c>
      <c r="G324" s="34" t="str">
        <f>IF(OR(A324="",$F$5&lt;=0),"",REPT("█",ROUND(20*F324/$F$5,0)))</f>
        <v/>
      </c>
      <c r="H324" s="31">
        <f>AL324+MIN(R323+AB324-AL324,MAX(0,ROUND(Долги!$D$19-SUM($AL324:$AU324),2)))</f>
        <v>0.0</v>
      </c>
      <c r="I324" s="31">
        <f>AM324+MIN(S323+AC324-AM324,MAX(0,ROUND(ROUND(Долги!$D$19-SUM($AL324:$AU324),2)-(SUM($H324:H324)-SUM($AL324:AL324)),2)))</f>
        <v>0.0</v>
      </c>
      <c r="J324" s="31">
        <f>AN324+MIN(T323+AD324-AN324,MAX(0,ROUND(ROUND(Долги!$D$19-SUM($AL324:$AU324),2)-(SUM($H324:I324)-SUM($AL324:AM324)),2)))</f>
        <v>0.0</v>
      </c>
      <c r="K324" s="31">
        <f>AO324+MIN(U323+AE324-AO324,MAX(0,ROUND(ROUND(Долги!$D$19-SUM($AL324:$AU324),2)-(SUM($H324:J324)-SUM($AL324:AN324)),2)))</f>
        <v>0.0</v>
      </c>
      <c r="L324" s="31">
        <f>AP324+MIN(V323+AF324-AP324,MAX(0,ROUND(ROUND(Долги!$D$19-SUM($AL324:$AU324),2)-(SUM($H324:K324)-SUM($AL324:AO324)),2)))</f>
        <v>0.0</v>
      </c>
      <c r="M324" s="31">
        <f>AQ324+MIN(W323+AG324-AQ324,MAX(0,ROUND(ROUND(Долги!$D$19-SUM($AL324:$AU324),2)-(SUM($H324:L324)-SUM($AL324:AP324)),2)))</f>
        <v>0.0</v>
      </c>
      <c r="N324" s="31">
        <f>AR324+MIN(X323+AH324-AR324,MAX(0,ROUND(ROUND(Долги!$D$19-SUM($AL324:$AU324),2)-(SUM($H324:M324)-SUM($AL324:AQ324)),2)))</f>
        <v>0.0</v>
      </c>
      <c r="O324" s="31">
        <f>AS324+MIN(Y323+AI324-AS324,MAX(0,ROUND(ROUND(Долги!$D$19-SUM($AL324:$AU324),2)-(SUM($H324:N324)-SUM($AL324:AR324)),2)))</f>
        <v>0.0</v>
      </c>
      <c r="P324" s="31">
        <f>AT324+MIN(Z323+AJ324-AT324,MAX(0,ROUND(ROUND(Долги!$D$19-SUM($AL324:$AU324),2)-(SUM($H324:O324)-SUM($AL324:AS324)),2)))</f>
        <v>0.0</v>
      </c>
      <c r="Q324" s="31">
        <f>AU324+MIN(AA323+AK324-AU324,MAX(0,ROUND(ROUND(Долги!$D$19-SUM($AL324:$AU324),2)-(SUM($H324:P324)-SUM($AL324:AT324)),2)))</f>
        <v>0.0</v>
      </c>
      <c r="R324" s="31">
        <f>IF(R323+AB324-H324&lt;=0.01,0,ROUND(R323+AB324-H324,2))</f>
        <v>0.0</v>
      </c>
      <c r="S324" s="31">
        <f>IF(S323+AC324-I324&lt;=0.01,0,ROUND(S323+AC324-I324,2))</f>
        <v>0.0</v>
      </c>
      <c r="T324" s="31">
        <f>IF(T323+AD324-J324&lt;=0.01,0,ROUND(T323+AD324-J324,2))</f>
        <v>0.0</v>
      </c>
      <c r="U324" s="31">
        <f>IF(U323+AE324-K324&lt;=0.01,0,ROUND(U323+AE324-K324,2))</f>
        <v>0.0</v>
      </c>
      <c r="V324" s="31">
        <f>IF(V323+AF324-L324&lt;=0.01,0,ROUND(V323+AF324-L324,2))</f>
        <v>0.0</v>
      </c>
      <c r="W324" s="31">
        <f>IF(W323+AG324-M324&lt;=0.01,0,ROUND(W323+AG324-M324,2))</f>
        <v>0.0</v>
      </c>
      <c r="X324" s="31">
        <f>IF(X323+AH324-N324&lt;=0.01,0,ROUND(X323+AH324-N324,2))</f>
        <v>0.0</v>
      </c>
      <c r="Y324" s="31">
        <f>IF(Y323+AI324-O324&lt;=0.01,0,ROUND(Y323+AI324-O324,2))</f>
        <v>0.0</v>
      </c>
      <c r="Z324" s="31">
        <f>IF(Z323+AJ324-P324&lt;=0.01,0,ROUND(Z323+AJ324-P324,2))</f>
        <v>0.0</v>
      </c>
      <c r="AA324" s="31">
        <f>IF(AA323+AK324-Q324&lt;=0.01,0,ROUND(AA323+AK324-Q324,2))</f>
        <v>0.0</v>
      </c>
      <c r="AB324" s="31">
        <f>ROUND(R323*AB$5/1200,2)</f>
        <v>0.0</v>
      </c>
      <c r="AC324" s="31">
        <f>ROUND(S323*AC$5/1200,2)</f>
        <v>0.0</v>
      </c>
      <c r="AD324" s="31">
        <f>ROUND(T323*AD$5/1200,2)</f>
        <v>0.0</v>
      </c>
      <c r="AE324" s="31">
        <f>ROUND(U323*AE$5/1200,2)</f>
        <v>0.0</v>
      </c>
      <c r="AF324" s="31">
        <f>ROUND(V323*AF$5/1200,2)</f>
        <v>0.0</v>
      </c>
      <c r="AG324" s="31">
        <f>ROUND(W323*AG$5/1200,2)</f>
        <v>0.0</v>
      </c>
      <c r="AH324" s="31">
        <f>ROUND(X323*AH$5/1200,2)</f>
        <v>0.0</v>
      </c>
      <c r="AI324" s="31">
        <f>ROUND(Y323*AI$5/1200,2)</f>
        <v>0.0</v>
      </c>
      <c r="AJ324" s="31">
        <f>ROUND(Z323*AJ$5/1200,2)</f>
        <v>0.0</v>
      </c>
      <c r="AK324" s="31">
        <f>ROUND(AA323*AK$5/1200,2)</f>
        <v>0.0</v>
      </c>
      <c r="AL324" s="31">
        <f>MIN(AL$5,R323+AB324)</f>
        <v>0.0</v>
      </c>
      <c r="AM324" s="31">
        <f>MIN(AM$5,S323+AC324)</f>
        <v>0.0</v>
      </c>
      <c r="AN324" s="31">
        <f>MIN(AN$5,T323+AD324)</f>
        <v>0.0</v>
      </c>
      <c r="AO324" s="31">
        <f>MIN(AO$5,U323+AE324)</f>
        <v>0.0</v>
      </c>
      <c r="AP324" s="31">
        <f>MIN(AP$5,V323+AF324)</f>
        <v>0.0</v>
      </c>
      <c r="AQ324" s="31">
        <f>MIN(AQ$5,W323+AG324)</f>
        <v>0.0</v>
      </c>
      <c r="AR324" s="31">
        <f>MIN(AR$5,X323+AH324)</f>
        <v>0.0</v>
      </c>
      <c r="AS324" s="31">
        <f>MIN(AS$5,Y323+AI324)</f>
        <v>0.0</v>
      </c>
      <c r="AT324" s="31">
        <f>MIN(AT$5,Z323+AJ324)</f>
        <v>0.0</v>
      </c>
      <c r="AU324" s="31">
        <f>MIN(AU$5,AA323+AK324)</f>
        <v>0.0</v>
      </c>
    </row>
    <row r="325">
      <c r="A325" s="25" t="str">
        <f>IF(F324&gt;0.005,320,"")</f>
        <v/>
      </c>
      <c r="B325" s="33" t="str">
        <f>IF(A325="","",EDATE(Долги!$D$5,319))</f>
        <v/>
      </c>
      <c r="C325" s="31">
        <f>SUM(H325:Q325)</f>
        <v>0.0</v>
      </c>
      <c r="D325" s="31">
        <f>SUM(AB325:AK325)</f>
        <v>0.0</v>
      </c>
      <c r="E325" s="31">
        <f>C325-D325</f>
        <v>0.0</v>
      </c>
      <c r="F325" s="31">
        <f>SUM(R325:AA325)</f>
        <v>0.0</v>
      </c>
      <c r="G325" s="34" t="str">
        <f>IF(OR(A325="",$F$5&lt;=0),"",REPT("█",ROUND(20*F325/$F$5,0)))</f>
        <v/>
      </c>
      <c r="H325" s="31">
        <f>AL325+MIN(R324+AB325-AL325,MAX(0,ROUND(Долги!$D$19-SUM($AL325:$AU325),2)))</f>
        <v>0.0</v>
      </c>
      <c r="I325" s="31">
        <f>AM325+MIN(S324+AC325-AM325,MAX(0,ROUND(ROUND(Долги!$D$19-SUM($AL325:$AU325),2)-(SUM($H325:H325)-SUM($AL325:AL325)),2)))</f>
        <v>0.0</v>
      </c>
      <c r="J325" s="31">
        <f>AN325+MIN(T324+AD325-AN325,MAX(0,ROUND(ROUND(Долги!$D$19-SUM($AL325:$AU325),2)-(SUM($H325:I325)-SUM($AL325:AM325)),2)))</f>
        <v>0.0</v>
      </c>
      <c r="K325" s="31">
        <f>AO325+MIN(U324+AE325-AO325,MAX(0,ROUND(ROUND(Долги!$D$19-SUM($AL325:$AU325),2)-(SUM($H325:J325)-SUM($AL325:AN325)),2)))</f>
        <v>0.0</v>
      </c>
      <c r="L325" s="31">
        <f>AP325+MIN(V324+AF325-AP325,MAX(0,ROUND(ROUND(Долги!$D$19-SUM($AL325:$AU325),2)-(SUM($H325:K325)-SUM($AL325:AO325)),2)))</f>
        <v>0.0</v>
      </c>
      <c r="M325" s="31">
        <f>AQ325+MIN(W324+AG325-AQ325,MAX(0,ROUND(ROUND(Долги!$D$19-SUM($AL325:$AU325),2)-(SUM($H325:L325)-SUM($AL325:AP325)),2)))</f>
        <v>0.0</v>
      </c>
      <c r="N325" s="31">
        <f>AR325+MIN(X324+AH325-AR325,MAX(0,ROUND(ROUND(Долги!$D$19-SUM($AL325:$AU325),2)-(SUM($H325:M325)-SUM($AL325:AQ325)),2)))</f>
        <v>0.0</v>
      </c>
      <c r="O325" s="31">
        <f>AS325+MIN(Y324+AI325-AS325,MAX(0,ROUND(ROUND(Долги!$D$19-SUM($AL325:$AU325),2)-(SUM($H325:N325)-SUM($AL325:AR325)),2)))</f>
        <v>0.0</v>
      </c>
      <c r="P325" s="31">
        <f>AT325+MIN(Z324+AJ325-AT325,MAX(0,ROUND(ROUND(Долги!$D$19-SUM($AL325:$AU325),2)-(SUM($H325:O325)-SUM($AL325:AS325)),2)))</f>
        <v>0.0</v>
      </c>
      <c r="Q325" s="31">
        <f>AU325+MIN(AA324+AK325-AU325,MAX(0,ROUND(ROUND(Долги!$D$19-SUM($AL325:$AU325),2)-(SUM($H325:P325)-SUM($AL325:AT325)),2)))</f>
        <v>0.0</v>
      </c>
      <c r="R325" s="31">
        <f>IF(R324+AB325-H325&lt;=0.01,0,ROUND(R324+AB325-H325,2))</f>
        <v>0.0</v>
      </c>
      <c r="S325" s="31">
        <f>IF(S324+AC325-I325&lt;=0.01,0,ROUND(S324+AC325-I325,2))</f>
        <v>0.0</v>
      </c>
      <c r="T325" s="31">
        <f>IF(T324+AD325-J325&lt;=0.01,0,ROUND(T324+AD325-J325,2))</f>
        <v>0.0</v>
      </c>
      <c r="U325" s="31">
        <f>IF(U324+AE325-K325&lt;=0.01,0,ROUND(U324+AE325-K325,2))</f>
        <v>0.0</v>
      </c>
      <c r="V325" s="31">
        <f>IF(V324+AF325-L325&lt;=0.01,0,ROUND(V324+AF325-L325,2))</f>
        <v>0.0</v>
      </c>
      <c r="W325" s="31">
        <f>IF(W324+AG325-M325&lt;=0.01,0,ROUND(W324+AG325-M325,2))</f>
        <v>0.0</v>
      </c>
      <c r="X325" s="31">
        <f>IF(X324+AH325-N325&lt;=0.01,0,ROUND(X324+AH325-N325,2))</f>
        <v>0.0</v>
      </c>
      <c r="Y325" s="31">
        <f>IF(Y324+AI325-O325&lt;=0.01,0,ROUND(Y324+AI325-O325,2))</f>
        <v>0.0</v>
      </c>
      <c r="Z325" s="31">
        <f>IF(Z324+AJ325-P325&lt;=0.01,0,ROUND(Z324+AJ325-P325,2))</f>
        <v>0.0</v>
      </c>
      <c r="AA325" s="31">
        <f>IF(AA324+AK325-Q325&lt;=0.01,0,ROUND(AA324+AK325-Q325,2))</f>
        <v>0.0</v>
      </c>
      <c r="AB325" s="31">
        <f>ROUND(R324*AB$5/1200,2)</f>
        <v>0.0</v>
      </c>
      <c r="AC325" s="31">
        <f>ROUND(S324*AC$5/1200,2)</f>
        <v>0.0</v>
      </c>
      <c r="AD325" s="31">
        <f>ROUND(T324*AD$5/1200,2)</f>
        <v>0.0</v>
      </c>
      <c r="AE325" s="31">
        <f>ROUND(U324*AE$5/1200,2)</f>
        <v>0.0</v>
      </c>
      <c r="AF325" s="31">
        <f>ROUND(V324*AF$5/1200,2)</f>
        <v>0.0</v>
      </c>
      <c r="AG325" s="31">
        <f>ROUND(W324*AG$5/1200,2)</f>
        <v>0.0</v>
      </c>
      <c r="AH325" s="31">
        <f>ROUND(X324*AH$5/1200,2)</f>
        <v>0.0</v>
      </c>
      <c r="AI325" s="31">
        <f>ROUND(Y324*AI$5/1200,2)</f>
        <v>0.0</v>
      </c>
      <c r="AJ325" s="31">
        <f>ROUND(Z324*AJ$5/1200,2)</f>
        <v>0.0</v>
      </c>
      <c r="AK325" s="31">
        <f>ROUND(AA324*AK$5/1200,2)</f>
        <v>0.0</v>
      </c>
      <c r="AL325" s="31">
        <f>MIN(AL$5,R324+AB325)</f>
        <v>0.0</v>
      </c>
      <c r="AM325" s="31">
        <f>MIN(AM$5,S324+AC325)</f>
        <v>0.0</v>
      </c>
      <c r="AN325" s="31">
        <f>MIN(AN$5,T324+AD325)</f>
        <v>0.0</v>
      </c>
      <c r="AO325" s="31">
        <f>MIN(AO$5,U324+AE325)</f>
        <v>0.0</v>
      </c>
      <c r="AP325" s="31">
        <f>MIN(AP$5,V324+AF325)</f>
        <v>0.0</v>
      </c>
      <c r="AQ325" s="31">
        <f>MIN(AQ$5,W324+AG325)</f>
        <v>0.0</v>
      </c>
      <c r="AR325" s="31">
        <f>MIN(AR$5,X324+AH325)</f>
        <v>0.0</v>
      </c>
      <c r="AS325" s="31">
        <f>MIN(AS$5,Y324+AI325)</f>
        <v>0.0</v>
      </c>
      <c r="AT325" s="31">
        <f>MIN(AT$5,Z324+AJ325)</f>
        <v>0.0</v>
      </c>
      <c r="AU325" s="31">
        <f>MIN(AU$5,AA324+AK325)</f>
        <v>0.0</v>
      </c>
    </row>
    <row r="326">
      <c r="A326" s="25" t="str">
        <f>IF(F325&gt;0.005,321,"")</f>
        <v/>
      </c>
      <c r="B326" s="33" t="str">
        <f>IF(A326="","",EDATE(Долги!$D$5,320))</f>
        <v/>
      </c>
      <c r="C326" s="31">
        <f>SUM(H326:Q326)</f>
        <v>0.0</v>
      </c>
      <c r="D326" s="31">
        <f>SUM(AB326:AK326)</f>
        <v>0.0</v>
      </c>
      <c r="E326" s="31">
        <f>C326-D326</f>
        <v>0.0</v>
      </c>
      <c r="F326" s="31">
        <f>SUM(R326:AA326)</f>
        <v>0.0</v>
      </c>
      <c r="G326" s="34" t="str">
        <f>IF(OR(A326="",$F$5&lt;=0),"",REPT("█",ROUND(20*F326/$F$5,0)))</f>
        <v/>
      </c>
      <c r="H326" s="31">
        <f>AL326+MIN(R325+AB326-AL326,MAX(0,ROUND(Долги!$D$19-SUM($AL326:$AU326),2)))</f>
        <v>0.0</v>
      </c>
      <c r="I326" s="31">
        <f>AM326+MIN(S325+AC326-AM326,MAX(0,ROUND(ROUND(Долги!$D$19-SUM($AL326:$AU326),2)-(SUM($H326:H326)-SUM($AL326:AL326)),2)))</f>
        <v>0.0</v>
      </c>
      <c r="J326" s="31">
        <f>AN326+MIN(T325+AD326-AN326,MAX(0,ROUND(ROUND(Долги!$D$19-SUM($AL326:$AU326),2)-(SUM($H326:I326)-SUM($AL326:AM326)),2)))</f>
        <v>0.0</v>
      </c>
      <c r="K326" s="31">
        <f>AO326+MIN(U325+AE326-AO326,MAX(0,ROUND(ROUND(Долги!$D$19-SUM($AL326:$AU326),2)-(SUM($H326:J326)-SUM($AL326:AN326)),2)))</f>
        <v>0.0</v>
      </c>
      <c r="L326" s="31">
        <f>AP326+MIN(V325+AF326-AP326,MAX(0,ROUND(ROUND(Долги!$D$19-SUM($AL326:$AU326),2)-(SUM($H326:K326)-SUM($AL326:AO326)),2)))</f>
        <v>0.0</v>
      </c>
      <c r="M326" s="31">
        <f>AQ326+MIN(W325+AG326-AQ326,MAX(0,ROUND(ROUND(Долги!$D$19-SUM($AL326:$AU326),2)-(SUM($H326:L326)-SUM($AL326:AP326)),2)))</f>
        <v>0.0</v>
      </c>
      <c r="N326" s="31">
        <f>AR326+MIN(X325+AH326-AR326,MAX(0,ROUND(ROUND(Долги!$D$19-SUM($AL326:$AU326),2)-(SUM($H326:M326)-SUM($AL326:AQ326)),2)))</f>
        <v>0.0</v>
      </c>
      <c r="O326" s="31">
        <f>AS326+MIN(Y325+AI326-AS326,MAX(0,ROUND(ROUND(Долги!$D$19-SUM($AL326:$AU326),2)-(SUM($H326:N326)-SUM($AL326:AR326)),2)))</f>
        <v>0.0</v>
      </c>
      <c r="P326" s="31">
        <f>AT326+MIN(Z325+AJ326-AT326,MAX(0,ROUND(ROUND(Долги!$D$19-SUM($AL326:$AU326),2)-(SUM($H326:O326)-SUM($AL326:AS326)),2)))</f>
        <v>0.0</v>
      </c>
      <c r="Q326" s="31">
        <f>AU326+MIN(AA325+AK326-AU326,MAX(0,ROUND(ROUND(Долги!$D$19-SUM($AL326:$AU326),2)-(SUM($H326:P326)-SUM($AL326:AT326)),2)))</f>
        <v>0.0</v>
      </c>
      <c r="R326" s="31">
        <f>IF(R325+AB326-H326&lt;=0.01,0,ROUND(R325+AB326-H326,2))</f>
        <v>0.0</v>
      </c>
      <c r="S326" s="31">
        <f>IF(S325+AC326-I326&lt;=0.01,0,ROUND(S325+AC326-I326,2))</f>
        <v>0.0</v>
      </c>
      <c r="T326" s="31">
        <f>IF(T325+AD326-J326&lt;=0.01,0,ROUND(T325+AD326-J326,2))</f>
        <v>0.0</v>
      </c>
      <c r="U326" s="31">
        <f>IF(U325+AE326-K326&lt;=0.01,0,ROUND(U325+AE326-K326,2))</f>
        <v>0.0</v>
      </c>
      <c r="V326" s="31">
        <f>IF(V325+AF326-L326&lt;=0.01,0,ROUND(V325+AF326-L326,2))</f>
        <v>0.0</v>
      </c>
      <c r="W326" s="31">
        <f>IF(W325+AG326-M326&lt;=0.01,0,ROUND(W325+AG326-M326,2))</f>
        <v>0.0</v>
      </c>
      <c r="X326" s="31">
        <f>IF(X325+AH326-N326&lt;=0.01,0,ROUND(X325+AH326-N326,2))</f>
        <v>0.0</v>
      </c>
      <c r="Y326" s="31">
        <f>IF(Y325+AI326-O326&lt;=0.01,0,ROUND(Y325+AI326-O326,2))</f>
        <v>0.0</v>
      </c>
      <c r="Z326" s="31">
        <f>IF(Z325+AJ326-P326&lt;=0.01,0,ROUND(Z325+AJ326-P326,2))</f>
        <v>0.0</v>
      </c>
      <c r="AA326" s="31">
        <f>IF(AA325+AK326-Q326&lt;=0.01,0,ROUND(AA325+AK326-Q326,2))</f>
        <v>0.0</v>
      </c>
      <c r="AB326" s="31">
        <f>ROUND(R325*AB$5/1200,2)</f>
        <v>0.0</v>
      </c>
      <c r="AC326" s="31">
        <f>ROUND(S325*AC$5/1200,2)</f>
        <v>0.0</v>
      </c>
      <c r="AD326" s="31">
        <f>ROUND(T325*AD$5/1200,2)</f>
        <v>0.0</v>
      </c>
      <c r="AE326" s="31">
        <f>ROUND(U325*AE$5/1200,2)</f>
        <v>0.0</v>
      </c>
      <c r="AF326" s="31">
        <f>ROUND(V325*AF$5/1200,2)</f>
        <v>0.0</v>
      </c>
      <c r="AG326" s="31">
        <f>ROUND(W325*AG$5/1200,2)</f>
        <v>0.0</v>
      </c>
      <c r="AH326" s="31">
        <f>ROUND(X325*AH$5/1200,2)</f>
        <v>0.0</v>
      </c>
      <c r="AI326" s="31">
        <f>ROUND(Y325*AI$5/1200,2)</f>
        <v>0.0</v>
      </c>
      <c r="AJ326" s="31">
        <f>ROUND(Z325*AJ$5/1200,2)</f>
        <v>0.0</v>
      </c>
      <c r="AK326" s="31">
        <f>ROUND(AA325*AK$5/1200,2)</f>
        <v>0.0</v>
      </c>
      <c r="AL326" s="31">
        <f>MIN(AL$5,R325+AB326)</f>
        <v>0.0</v>
      </c>
      <c r="AM326" s="31">
        <f>MIN(AM$5,S325+AC326)</f>
        <v>0.0</v>
      </c>
      <c r="AN326" s="31">
        <f>MIN(AN$5,T325+AD326)</f>
        <v>0.0</v>
      </c>
      <c r="AO326" s="31">
        <f>MIN(AO$5,U325+AE326)</f>
        <v>0.0</v>
      </c>
      <c r="AP326" s="31">
        <f>MIN(AP$5,V325+AF326)</f>
        <v>0.0</v>
      </c>
      <c r="AQ326" s="31">
        <f>MIN(AQ$5,W325+AG326)</f>
        <v>0.0</v>
      </c>
      <c r="AR326" s="31">
        <f>MIN(AR$5,X325+AH326)</f>
        <v>0.0</v>
      </c>
      <c r="AS326" s="31">
        <f>MIN(AS$5,Y325+AI326)</f>
        <v>0.0</v>
      </c>
      <c r="AT326" s="31">
        <f>MIN(AT$5,Z325+AJ326)</f>
        <v>0.0</v>
      </c>
      <c r="AU326" s="31">
        <f>MIN(AU$5,AA325+AK326)</f>
        <v>0.0</v>
      </c>
    </row>
    <row r="327">
      <c r="A327" s="25" t="str">
        <f>IF(F326&gt;0.005,322,"")</f>
        <v/>
      </c>
      <c r="B327" s="33" t="str">
        <f>IF(A327="","",EDATE(Долги!$D$5,321))</f>
        <v/>
      </c>
      <c r="C327" s="31">
        <f>SUM(H327:Q327)</f>
        <v>0.0</v>
      </c>
      <c r="D327" s="31">
        <f>SUM(AB327:AK327)</f>
        <v>0.0</v>
      </c>
      <c r="E327" s="31">
        <f>C327-D327</f>
        <v>0.0</v>
      </c>
      <c r="F327" s="31">
        <f>SUM(R327:AA327)</f>
        <v>0.0</v>
      </c>
      <c r="G327" s="34" t="str">
        <f>IF(OR(A327="",$F$5&lt;=0),"",REPT("█",ROUND(20*F327/$F$5,0)))</f>
        <v/>
      </c>
      <c r="H327" s="31">
        <f>AL327+MIN(R326+AB327-AL327,MAX(0,ROUND(Долги!$D$19-SUM($AL327:$AU327),2)))</f>
        <v>0.0</v>
      </c>
      <c r="I327" s="31">
        <f>AM327+MIN(S326+AC327-AM327,MAX(0,ROUND(ROUND(Долги!$D$19-SUM($AL327:$AU327),2)-(SUM($H327:H327)-SUM($AL327:AL327)),2)))</f>
        <v>0.0</v>
      </c>
      <c r="J327" s="31">
        <f>AN327+MIN(T326+AD327-AN327,MAX(0,ROUND(ROUND(Долги!$D$19-SUM($AL327:$AU327),2)-(SUM($H327:I327)-SUM($AL327:AM327)),2)))</f>
        <v>0.0</v>
      </c>
      <c r="K327" s="31">
        <f>AO327+MIN(U326+AE327-AO327,MAX(0,ROUND(ROUND(Долги!$D$19-SUM($AL327:$AU327),2)-(SUM($H327:J327)-SUM($AL327:AN327)),2)))</f>
        <v>0.0</v>
      </c>
      <c r="L327" s="31">
        <f>AP327+MIN(V326+AF327-AP327,MAX(0,ROUND(ROUND(Долги!$D$19-SUM($AL327:$AU327),2)-(SUM($H327:K327)-SUM($AL327:AO327)),2)))</f>
        <v>0.0</v>
      </c>
      <c r="M327" s="31">
        <f>AQ327+MIN(W326+AG327-AQ327,MAX(0,ROUND(ROUND(Долги!$D$19-SUM($AL327:$AU327),2)-(SUM($H327:L327)-SUM($AL327:AP327)),2)))</f>
        <v>0.0</v>
      </c>
      <c r="N327" s="31">
        <f>AR327+MIN(X326+AH327-AR327,MAX(0,ROUND(ROUND(Долги!$D$19-SUM($AL327:$AU327),2)-(SUM($H327:M327)-SUM($AL327:AQ327)),2)))</f>
        <v>0.0</v>
      </c>
      <c r="O327" s="31">
        <f>AS327+MIN(Y326+AI327-AS327,MAX(0,ROUND(ROUND(Долги!$D$19-SUM($AL327:$AU327),2)-(SUM($H327:N327)-SUM($AL327:AR327)),2)))</f>
        <v>0.0</v>
      </c>
      <c r="P327" s="31">
        <f>AT327+MIN(Z326+AJ327-AT327,MAX(0,ROUND(ROUND(Долги!$D$19-SUM($AL327:$AU327),2)-(SUM($H327:O327)-SUM($AL327:AS327)),2)))</f>
        <v>0.0</v>
      </c>
      <c r="Q327" s="31">
        <f>AU327+MIN(AA326+AK327-AU327,MAX(0,ROUND(ROUND(Долги!$D$19-SUM($AL327:$AU327),2)-(SUM($H327:P327)-SUM($AL327:AT327)),2)))</f>
        <v>0.0</v>
      </c>
      <c r="R327" s="31">
        <f>IF(R326+AB327-H327&lt;=0.01,0,ROUND(R326+AB327-H327,2))</f>
        <v>0.0</v>
      </c>
      <c r="S327" s="31">
        <f>IF(S326+AC327-I327&lt;=0.01,0,ROUND(S326+AC327-I327,2))</f>
        <v>0.0</v>
      </c>
      <c r="T327" s="31">
        <f>IF(T326+AD327-J327&lt;=0.01,0,ROUND(T326+AD327-J327,2))</f>
        <v>0.0</v>
      </c>
      <c r="U327" s="31">
        <f>IF(U326+AE327-K327&lt;=0.01,0,ROUND(U326+AE327-K327,2))</f>
        <v>0.0</v>
      </c>
      <c r="V327" s="31">
        <f>IF(V326+AF327-L327&lt;=0.01,0,ROUND(V326+AF327-L327,2))</f>
        <v>0.0</v>
      </c>
      <c r="W327" s="31">
        <f>IF(W326+AG327-M327&lt;=0.01,0,ROUND(W326+AG327-M327,2))</f>
        <v>0.0</v>
      </c>
      <c r="X327" s="31">
        <f>IF(X326+AH327-N327&lt;=0.01,0,ROUND(X326+AH327-N327,2))</f>
        <v>0.0</v>
      </c>
      <c r="Y327" s="31">
        <f>IF(Y326+AI327-O327&lt;=0.01,0,ROUND(Y326+AI327-O327,2))</f>
        <v>0.0</v>
      </c>
      <c r="Z327" s="31">
        <f>IF(Z326+AJ327-P327&lt;=0.01,0,ROUND(Z326+AJ327-P327,2))</f>
        <v>0.0</v>
      </c>
      <c r="AA327" s="31">
        <f>IF(AA326+AK327-Q327&lt;=0.01,0,ROUND(AA326+AK327-Q327,2))</f>
        <v>0.0</v>
      </c>
      <c r="AB327" s="31">
        <f>ROUND(R326*AB$5/1200,2)</f>
        <v>0.0</v>
      </c>
      <c r="AC327" s="31">
        <f>ROUND(S326*AC$5/1200,2)</f>
        <v>0.0</v>
      </c>
      <c r="AD327" s="31">
        <f>ROUND(T326*AD$5/1200,2)</f>
        <v>0.0</v>
      </c>
      <c r="AE327" s="31">
        <f>ROUND(U326*AE$5/1200,2)</f>
        <v>0.0</v>
      </c>
      <c r="AF327" s="31">
        <f>ROUND(V326*AF$5/1200,2)</f>
        <v>0.0</v>
      </c>
      <c r="AG327" s="31">
        <f>ROUND(W326*AG$5/1200,2)</f>
        <v>0.0</v>
      </c>
      <c r="AH327" s="31">
        <f>ROUND(X326*AH$5/1200,2)</f>
        <v>0.0</v>
      </c>
      <c r="AI327" s="31">
        <f>ROUND(Y326*AI$5/1200,2)</f>
        <v>0.0</v>
      </c>
      <c r="AJ327" s="31">
        <f>ROUND(Z326*AJ$5/1200,2)</f>
        <v>0.0</v>
      </c>
      <c r="AK327" s="31">
        <f>ROUND(AA326*AK$5/1200,2)</f>
        <v>0.0</v>
      </c>
      <c r="AL327" s="31">
        <f>MIN(AL$5,R326+AB327)</f>
        <v>0.0</v>
      </c>
      <c r="AM327" s="31">
        <f>MIN(AM$5,S326+AC327)</f>
        <v>0.0</v>
      </c>
      <c r="AN327" s="31">
        <f>MIN(AN$5,T326+AD327)</f>
        <v>0.0</v>
      </c>
      <c r="AO327" s="31">
        <f>MIN(AO$5,U326+AE327)</f>
        <v>0.0</v>
      </c>
      <c r="AP327" s="31">
        <f>MIN(AP$5,V326+AF327)</f>
        <v>0.0</v>
      </c>
      <c r="AQ327" s="31">
        <f>MIN(AQ$5,W326+AG327)</f>
        <v>0.0</v>
      </c>
      <c r="AR327" s="31">
        <f>MIN(AR$5,X326+AH327)</f>
        <v>0.0</v>
      </c>
      <c r="AS327" s="31">
        <f>MIN(AS$5,Y326+AI327)</f>
        <v>0.0</v>
      </c>
      <c r="AT327" s="31">
        <f>MIN(AT$5,Z326+AJ327)</f>
        <v>0.0</v>
      </c>
      <c r="AU327" s="31">
        <f>MIN(AU$5,AA326+AK327)</f>
        <v>0.0</v>
      </c>
    </row>
    <row r="328">
      <c r="A328" s="25" t="str">
        <f>IF(F327&gt;0.005,323,"")</f>
        <v/>
      </c>
      <c r="B328" s="33" t="str">
        <f>IF(A328="","",EDATE(Долги!$D$5,322))</f>
        <v/>
      </c>
      <c r="C328" s="31">
        <f>SUM(H328:Q328)</f>
        <v>0.0</v>
      </c>
      <c r="D328" s="31">
        <f>SUM(AB328:AK328)</f>
        <v>0.0</v>
      </c>
      <c r="E328" s="31">
        <f>C328-D328</f>
        <v>0.0</v>
      </c>
      <c r="F328" s="31">
        <f>SUM(R328:AA328)</f>
        <v>0.0</v>
      </c>
      <c r="G328" s="34" t="str">
        <f>IF(OR(A328="",$F$5&lt;=0),"",REPT("█",ROUND(20*F328/$F$5,0)))</f>
        <v/>
      </c>
      <c r="H328" s="31">
        <f>AL328+MIN(R327+AB328-AL328,MAX(0,ROUND(Долги!$D$19-SUM($AL328:$AU328),2)))</f>
        <v>0.0</v>
      </c>
      <c r="I328" s="31">
        <f>AM328+MIN(S327+AC328-AM328,MAX(0,ROUND(ROUND(Долги!$D$19-SUM($AL328:$AU328),2)-(SUM($H328:H328)-SUM($AL328:AL328)),2)))</f>
        <v>0.0</v>
      </c>
      <c r="J328" s="31">
        <f>AN328+MIN(T327+AD328-AN328,MAX(0,ROUND(ROUND(Долги!$D$19-SUM($AL328:$AU328),2)-(SUM($H328:I328)-SUM($AL328:AM328)),2)))</f>
        <v>0.0</v>
      </c>
      <c r="K328" s="31">
        <f>AO328+MIN(U327+AE328-AO328,MAX(0,ROUND(ROUND(Долги!$D$19-SUM($AL328:$AU328),2)-(SUM($H328:J328)-SUM($AL328:AN328)),2)))</f>
        <v>0.0</v>
      </c>
      <c r="L328" s="31">
        <f>AP328+MIN(V327+AF328-AP328,MAX(0,ROUND(ROUND(Долги!$D$19-SUM($AL328:$AU328),2)-(SUM($H328:K328)-SUM($AL328:AO328)),2)))</f>
        <v>0.0</v>
      </c>
      <c r="M328" s="31">
        <f>AQ328+MIN(W327+AG328-AQ328,MAX(0,ROUND(ROUND(Долги!$D$19-SUM($AL328:$AU328),2)-(SUM($H328:L328)-SUM($AL328:AP328)),2)))</f>
        <v>0.0</v>
      </c>
      <c r="N328" s="31">
        <f>AR328+MIN(X327+AH328-AR328,MAX(0,ROUND(ROUND(Долги!$D$19-SUM($AL328:$AU328),2)-(SUM($H328:M328)-SUM($AL328:AQ328)),2)))</f>
        <v>0.0</v>
      </c>
      <c r="O328" s="31">
        <f>AS328+MIN(Y327+AI328-AS328,MAX(0,ROUND(ROUND(Долги!$D$19-SUM($AL328:$AU328),2)-(SUM($H328:N328)-SUM($AL328:AR328)),2)))</f>
        <v>0.0</v>
      </c>
      <c r="P328" s="31">
        <f>AT328+MIN(Z327+AJ328-AT328,MAX(0,ROUND(ROUND(Долги!$D$19-SUM($AL328:$AU328),2)-(SUM($H328:O328)-SUM($AL328:AS328)),2)))</f>
        <v>0.0</v>
      </c>
      <c r="Q328" s="31">
        <f>AU328+MIN(AA327+AK328-AU328,MAX(0,ROUND(ROUND(Долги!$D$19-SUM($AL328:$AU328),2)-(SUM($H328:P328)-SUM($AL328:AT328)),2)))</f>
        <v>0.0</v>
      </c>
      <c r="R328" s="31">
        <f>IF(R327+AB328-H328&lt;=0.01,0,ROUND(R327+AB328-H328,2))</f>
        <v>0.0</v>
      </c>
      <c r="S328" s="31">
        <f>IF(S327+AC328-I328&lt;=0.01,0,ROUND(S327+AC328-I328,2))</f>
        <v>0.0</v>
      </c>
      <c r="T328" s="31">
        <f>IF(T327+AD328-J328&lt;=0.01,0,ROUND(T327+AD328-J328,2))</f>
        <v>0.0</v>
      </c>
      <c r="U328" s="31">
        <f>IF(U327+AE328-K328&lt;=0.01,0,ROUND(U327+AE328-K328,2))</f>
        <v>0.0</v>
      </c>
      <c r="V328" s="31">
        <f>IF(V327+AF328-L328&lt;=0.01,0,ROUND(V327+AF328-L328,2))</f>
        <v>0.0</v>
      </c>
      <c r="W328" s="31">
        <f>IF(W327+AG328-M328&lt;=0.01,0,ROUND(W327+AG328-M328,2))</f>
        <v>0.0</v>
      </c>
      <c r="X328" s="31">
        <f>IF(X327+AH328-N328&lt;=0.01,0,ROUND(X327+AH328-N328,2))</f>
        <v>0.0</v>
      </c>
      <c r="Y328" s="31">
        <f>IF(Y327+AI328-O328&lt;=0.01,0,ROUND(Y327+AI328-O328,2))</f>
        <v>0.0</v>
      </c>
      <c r="Z328" s="31">
        <f>IF(Z327+AJ328-P328&lt;=0.01,0,ROUND(Z327+AJ328-P328,2))</f>
        <v>0.0</v>
      </c>
      <c r="AA328" s="31">
        <f>IF(AA327+AK328-Q328&lt;=0.01,0,ROUND(AA327+AK328-Q328,2))</f>
        <v>0.0</v>
      </c>
      <c r="AB328" s="31">
        <f>ROUND(R327*AB$5/1200,2)</f>
        <v>0.0</v>
      </c>
      <c r="AC328" s="31">
        <f>ROUND(S327*AC$5/1200,2)</f>
        <v>0.0</v>
      </c>
      <c r="AD328" s="31">
        <f>ROUND(T327*AD$5/1200,2)</f>
        <v>0.0</v>
      </c>
      <c r="AE328" s="31">
        <f>ROUND(U327*AE$5/1200,2)</f>
        <v>0.0</v>
      </c>
      <c r="AF328" s="31">
        <f>ROUND(V327*AF$5/1200,2)</f>
        <v>0.0</v>
      </c>
      <c r="AG328" s="31">
        <f>ROUND(W327*AG$5/1200,2)</f>
        <v>0.0</v>
      </c>
      <c r="AH328" s="31">
        <f>ROUND(X327*AH$5/1200,2)</f>
        <v>0.0</v>
      </c>
      <c r="AI328" s="31">
        <f>ROUND(Y327*AI$5/1200,2)</f>
        <v>0.0</v>
      </c>
      <c r="AJ328" s="31">
        <f>ROUND(Z327*AJ$5/1200,2)</f>
        <v>0.0</v>
      </c>
      <c r="AK328" s="31">
        <f>ROUND(AA327*AK$5/1200,2)</f>
        <v>0.0</v>
      </c>
      <c r="AL328" s="31">
        <f>MIN(AL$5,R327+AB328)</f>
        <v>0.0</v>
      </c>
      <c r="AM328" s="31">
        <f>MIN(AM$5,S327+AC328)</f>
        <v>0.0</v>
      </c>
      <c r="AN328" s="31">
        <f>MIN(AN$5,T327+AD328)</f>
        <v>0.0</v>
      </c>
      <c r="AO328" s="31">
        <f>MIN(AO$5,U327+AE328)</f>
        <v>0.0</v>
      </c>
      <c r="AP328" s="31">
        <f>MIN(AP$5,V327+AF328)</f>
        <v>0.0</v>
      </c>
      <c r="AQ328" s="31">
        <f>MIN(AQ$5,W327+AG328)</f>
        <v>0.0</v>
      </c>
      <c r="AR328" s="31">
        <f>MIN(AR$5,X327+AH328)</f>
        <v>0.0</v>
      </c>
      <c r="AS328" s="31">
        <f>MIN(AS$5,Y327+AI328)</f>
        <v>0.0</v>
      </c>
      <c r="AT328" s="31">
        <f>MIN(AT$5,Z327+AJ328)</f>
        <v>0.0</v>
      </c>
      <c r="AU328" s="31">
        <f>MIN(AU$5,AA327+AK328)</f>
        <v>0.0</v>
      </c>
    </row>
    <row r="329">
      <c r="A329" s="25" t="str">
        <f>IF(F328&gt;0.005,324,"")</f>
        <v/>
      </c>
      <c r="B329" s="33" t="str">
        <f>IF(A329="","",EDATE(Долги!$D$5,323))</f>
        <v/>
      </c>
      <c r="C329" s="31">
        <f>SUM(H329:Q329)</f>
        <v>0.0</v>
      </c>
      <c r="D329" s="31">
        <f>SUM(AB329:AK329)</f>
        <v>0.0</v>
      </c>
      <c r="E329" s="31">
        <f>C329-D329</f>
        <v>0.0</v>
      </c>
      <c r="F329" s="31">
        <f>SUM(R329:AA329)</f>
        <v>0.0</v>
      </c>
      <c r="G329" s="34" t="str">
        <f>IF(OR(A329="",$F$5&lt;=0),"",REPT("█",ROUND(20*F329/$F$5,0)))</f>
        <v/>
      </c>
      <c r="H329" s="31">
        <f>AL329+MIN(R328+AB329-AL329,MAX(0,ROUND(Долги!$D$19-SUM($AL329:$AU329),2)))</f>
        <v>0.0</v>
      </c>
      <c r="I329" s="31">
        <f>AM329+MIN(S328+AC329-AM329,MAX(0,ROUND(ROUND(Долги!$D$19-SUM($AL329:$AU329),2)-(SUM($H329:H329)-SUM($AL329:AL329)),2)))</f>
        <v>0.0</v>
      </c>
      <c r="J329" s="31">
        <f>AN329+MIN(T328+AD329-AN329,MAX(0,ROUND(ROUND(Долги!$D$19-SUM($AL329:$AU329),2)-(SUM($H329:I329)-SUM($AL329:AM329)),2)))</f>
        <v>0.0</v>
      </c>
      <c r="K329" s="31">
        <f>AO329+MIN(U328+AE329-AO329,MAX(0,ROUND(ROUND(Долги!$D$19-SUM($AL329:$AU329),2)-(SUM($H329:J329)-SUM($AL329:AN329)),2)))</f>
        <v>0.0</v>
      </c>
      <c r="L329" s="31">
        <f>AP329+MIN(V328+AF329-AP329,MAX(0,ROUND(ROUND(Долги!$D$19-SUM($AL329:$AU329),2)-(SUM($H329:K329)-SUM($AL329:AO329)),2)))</f>
        <v>0.0</v>
      </c>
      <c r="M329" s="31">
        <f>AQ329+MIN(W328+AG329-AQ329,MAX(0,ROUND(ROUND(Долги!$D$19-SUM($AL329:$AU329),2)-(SUM($H329:L329)-SUM($AL329:AP329)),2)))</f>
        <v>0.0</v>
      </c>
      <c r="N329" s="31">
        <f>AR329+MIN(X328+AH329-AR329,MAX(0,ROUND(ROUND(Долги!$D$19-SUM($AL329:$AU329),2)-(SUM($H329:M329)-SUM($AL329:AQ329)),2)))</f>
        <v>0.0</v>
      </c>
      <c r="O329" s="31">
        <f>AS329+MIN(Y328+AI329-AS329,MAX(0,ROUND(ROUND(Долги!$D$19-SUM($AL329:$AU329),2)-(SUM($H329:N329)-SUM($AL329:AR329)),2)))</f>
        <v>0.0</v>
      </c>
      <c r="P329" s="31">
        <f>AT329+MIN(Z328+AJ329-AT329,MAX(0,ROUND(ROUND(Долги!$D$19-SUM($AL329:$AU329),2)-(SUM($H329:O329)-SUM($AL329:AS329)),2)))</f>
        <v>0.0</v>
      </c>
      <c r="Q329" s="31">
        <f>AU329+MIN(AA328+AK329-AU329,MAX(0,ROUND(ROUND(Долги!$D$19-SUM($AL329:$AU329),2)-(SUM($H329:P329)-SUM($AL329:AT329)),2)))</f>
        <v>0.0</v>
      </c>
      <c r="R329" s="31">
        <f>IF(R328+AB329-H329&lt;=0.01,0,ROUND(R328+AB329-H329,2))</f>
        <v>0.0</v>
      </c>
      <c r="S329" s="31">
        <f>IF(S328+AC329-I329&lt;=0.01,0,ROUND(S328+AC329-I329,2))</f>
        <v>0.0</v>
      </c>
      <c r="T329" s="31">
        <f>IF(T328+AD329-J329&lt;=0.01,0,ROUND(T328+AD329-J329,2))</f>
        <v>0.0</v>
      </c>
      <c r="U329" s="31">
        <f>IF(U328+AE329-K329&lt;=0.01,0,ROUND(U328+AE329-K329,2))</f>
        <v>0.0</v>
      </c>
      <c r="V329" s="31">
        <f>IF(V328+AF329-L329&lt;=0.01,0,ROUND(V328+AF329-L329,2))</f>
        <v>0.0</v>
      </c>
      <c r="W329" s="31">
        <f>IF(W328+AG329-M329&lt;=0.01,0,ROUND(W328+AG329-M329,2))</f>
        <v>0.0</v>
      </c>
      <c r="X329" s="31">
        <f>IF(X328+AH329-N329&lt;=0.01,0,ROUND(X328+AH329-N329,2))</f>
        <v>0.0</v>
      </c>
      <c r="Y329" s="31">
        <f>IF(Y328+AI329-O329&lt;=0.01,0,ROUND(Y328+AI329-O329,2))</f>
        <v>0.0</v>
      </c>
      <c r="Z329" s="31">
        <f>IF(Z328+AJ329-P329&lt;=0.01,0,ROUND(Z328+AJ329-P329,2))</f>
        <v>0.0</v>
      </c>
      <c r="AA329" s="31">
        <f>IF(AA328+AK329-Q329&lt;=0.01,0,ROUND(AA328+AK329-Q329,2))</f>
        <v>0.0</v>
      </c>
      <c r="AB329" s="31">
        <f>ROUND(R328*AB$5/1200,2)</f>
        <v>0.0</v>
      </c>
      <c r="AC329" s="31">
        <f>ROUND(S328*AC$5/1200,2)</f>
        <v>0.0</v>
      </c>
      <c r="AD329" s="31">
        <f>ROUND(T328*AD$5/1200,2)</f>
        <v>0.0</v>
      </c>
      <c r="AE329" s="31">
        <f>ROUND(U328*AE$5/1200,2)</f>
        <v>0.0</v>
      </c>
      <c r="AF329" s="31">
        <f>ROUND(V328*AF$5/1200,2)</f>
        <v>0.0</v>
      </c>
      <c r="AG329" s="31">
        <f>ROUND(W328*AG$5/1200,2)</f>
        <v>0.0</v>
      </c>
      <c r="AH329" s="31">
        <f>ROUND(X328*AH$5/1200,2)</f>
        <v>0.0</v>
      </c>
      <c r="AI329" s="31">
        <f>ROUND(Y328*AI$5/1200,2)</f>
        <v>0.0</v>
      </c>
      <c r="AJ329" s="31">
        <f>ROUND(Z328*AJ$5/1200,2)</f>
        <v>0.0</v>
      </c>
      <c r="AK329" s="31">
        <f>ROUND(AA328*AK$5/1200,2)</f>
        <v>0.0</v>
      </c>
      <c r="AL329" s="31">
        <f>MIN(AL$5,R328+AB329)</f>
        <v>0.0</v>
      </c>
      <c r="AM329" s="31">
        <f>MIN(AM$5,S328+AC329)</f>
        <v>0.0</v>
      </c>
      <c r="AN329" s="31">
        <f>MIN(AN$5,T328+AD329)</f>
        <v>0.0</v>
      </c>
      <c r="AO329" s="31">
        <f>MIN(AO$5,U328+AE329)</f>
        <v>0.0</v>
      </c>
      <c r="AP329" s="31">
        <f>MIN(AP$5,V328+AF329)</f>
        <v>0.0</v>
      </c>
      <c r="AQ329" s="31">
        <f>MIN(AQ$5,W328+AG329)</f>
        <v>0.0</v>
      </c>
      <c r="AR329" s="31">
        <f>MIN(AR$5,X328+AH329)</f>
        <v>0.0</v>
      </c>
      <c r="AS329" s="31">
        <f>MIN(AS$5,Y328+AI329)</f>
        <v>0.0</v>
      </c>
      <c r="AT329" s="31">
        <f>MIN(AT$5,Z328+AJ329)</f>
        <v>0.0</v>
      </c>
      <c r="AU329" s="31">
        <f>MIN(AU$5,AA328+AK329)</f>
        <v>0.0</v>
      </c>
    </row>
    <row r="330">
      <c r="A330" s="25" t="str">
        <f>IF(F329&gt;0.005,325,"")</f>
        <v/>
      </c>
      <c r="B330" s="33" t="str">
        <f>IF(A330="","",EDATE(Долги!$D$5,324))</f>
        <v/>
      </c>
      <c r="C330" s="31">
        <f>SUM(H330:Q330)</f>
        <v>0.0</v>
      </c>
      <c r="D330" s="31">
        <f>SUM(AB330:AK330)</f>
        <v>0.0</v>
      </c>
      <c r="E330" s="31">
        <f>C330-D330</f>
        <v>0.0</v>
      </c>
      <c r="F330" s="31">
        <f>SUM(R330:AA330)</f>
        <v>0.0</v>
      </c>
      <c r="G330" s="34" t="str">
        <f>IF(OR(A330="",$F$5&lt;=0),"",REPT("█",ROUND(20*F330/$F$5,0)))</f>
        <v/>
      </c>
      <c r="H330" s="31">
        <f>AL330+MIN(R329+AB330-AL330,MAX(0,ROUND(Долги!$D$19-SUM($AL330:$AU330),2)))</f>
        <v>0.0</v>
      </c>
      <c r="I330" s="31">
        <f>AM330+MIN(S329+AC330-AM330,MAX(0,ROUND(ROUND(Долги!$D$19-SUM($AL330:$AU330),2)-(SUM($H330:H330)-SUM($AL330:AL330)),2)))</f>
        <v>0.0</v>
      </c>
      <c r="J330" s="31">
        <f>AN330+MIN(T329+AD330-AN330,MAX(0,ROUND(ROUND(Долги!$D$19-SUM($AL330:$AU330),2)-(SUM($H330:I330)-SUM($AL330:AM330)),2)))</f>
        <v>0.0</v>
      </c>
      <c r="K330" s="31">
        <f>AO330+MIN(U329+AE330-AO330,MAX(0,ROUND(ROUND(Долги!$D$19-SUM($AL330:$AU330),2)-(SUM($H330:J330)-SUM($AL330:AN330)),2)))</f>
        <v>0.0</v>
      </c>
      <c r="L330" s="31">
        <f>AP330+MIN(V329+AF330-AP330,MAX(0,ROUND(ROUND(Долги!$D$19-SUM($AL330:$AU330),2)-(SUM($H330:K330)-SUM($AL330:AO330)),2)))</f>
        <v>0.0</v>
      </c>
      <c r="M330" s="31">
        <f>AQ330+MIN(W329+AG330-AQ330,MAX(0,ROUND(ROUND(Долги!$D$19-SUM($AL330:$AU330),2)-(SUM($H330:L330)-SUM($AL330:AP330)),2)))</f>
        <v>0.0</v>
      </c>
      <c r="N330" s="31">
        <f>AR330+MIN(X329+AH330-AR330,MAX(0,ROUND(ROUND(Долги!$D$19-SUM($AL330:$AU330),2)-(SUM($H330:M330)-SUM($AL330:AQ330)),2)))</f>
        <v>0.0</v>
      </c>
      <c r="O330" s="31">
        <f>AS330+MIN(Y329+AI330-AS330,MAX(0,ROUND(ROUND(Долги!$D$19-SUM($AL330:$AU330),2)-(SUM($H330:N330)-SUM($AL330:AR330)),2)))</f>
        <v>0.0</v>
      </c>
      <c r="P330" s="31">
        <f>AT330+MIN(Z329+AJ330-AT330,MAX(0,ROUND(ROUND(Долги!$D$19-SUM($AL330:$AU330),2)-(SUM($H330:O330)-SUM($AL330:AS330)),2)))</f>
        <v>0.0</v>
      </c>
      <c r="Q330" s="31">
        <f>AU330+MIN(AA329+AK330-AU330,MAX(0,ROUND(ROUND(Долги!$D$19-SUM($AL330:$AU330),2)-(SUM($H330:P330)-SUM($AL330:AT330)),2)))</f>
        <v>0.0</v>
      </c>
      <c r="R330" s="31">
        <f>IF(R329+AB330-H330&lt;=0.01,0,ROUND(R329+AB330-H330,2))</f>
        <v>0.0</v>
      </c>
      <c r="S330" s="31">
        <f>IF(S329+AC330-I330&lt;=0.01,0,ROUND(S329+AC330-I330,2))</f>
        <v>0.0</v>
      </c>
      <c r="T330" s="31">
        <f>IF(T329+AD330-J330&lt;=0.01,0,ROUND(T329+AD330-J330,2))</f>
        <v>0.0</v>
      </c>
      <c r="U330" s="31">
        <f>IF(U329+AE330-K330&lt;=0.01,0,ROUND(U329+AE330-K330,2))</f>
        <v>0.0</v>
      </c>
      <c r="V330" s="31">
        <f>IF(V329+AF330-L330&lt;=0.01,0,ROUND(V329+AF330-L330,2))</f>
        <v>0.0</v>
      </c>
      <c r="W330" s="31">
        <f>IF(W329+AG330-M330&lt;=0.01,0,ROUND(W329+AG330-M330,2))</f>
        <v>0.0</v>
      </c>
      <c r="X330" s="31">
        <f>IF(X329+AH330-N330&lt;=0.01,0,ROUND(X329+AH330-N330,2))</f>
        <v>0.0</v>
      </c>
      <c r="Y330" s="31">
        <f>IF(Y329+AI330-O330&lt;=0.01,0,ROUND(Y329+AI330-O330,2))</f>
        <v>0.0</v>
      </c>
      <c r="Z330" s="31">
        <f>IF(Z329+AJ330-P330&lt;=0.01,0,ROUND(Z329+AJ330-P330,2))</f>
        <v>0.0</v>
      </c>
      <c r="AA330" s="31">
        <f>IF(AA329+AK330-Q330&lt;=0.01,0,ROUND(AA329+AK330-Q330,2))</f>
        <v>0.0</v>
      </c>
      <c r="AB330" s="31">
        <f>ROUND(R329*AB$5/1200,2)</f>
        <v>0.0</v>
      </c>
      <c r="AC330" s="31">
        <f>ROUND(S329*AC$5/1200,2)</f>
        <v>0.0</v>
      </c>
      <c r="AD330" s="31">
        <f>ROUND(T329*AD$5/1200,2)</f>
        <v>0.0</v>
      </c>
      <c r="AE330" s="31">
        <f>ROUND(U329*AE$5/1200,2)</f>
        <v>0.0</v>
      </c>
      <c r="AF330" s="31">
        <f>ROUND(V329*AF$5/1200,2)</f>
        <v>0.0</v>
      </c>
      <c r="AG330" s="31">
        <f>ROUND(W329*AG$5/1200,2)</f>
        <v>0.0</v>
      </c>
      <c r="AH330" s="31">
        <f>ROUND(X329*AH$5/1200,2)</f>
        <v>0.0</v>
      </c>
      <c r="AI330" s="31">
        <f>ROUND(Y329*AI$5/1200,2)</f>
        <v>0.0</v>
      </c>
      <c r="AJ330" s="31">
        <f>ROUND(Z329*AJ$5/1200,2)</f>
        <v>0.0</v>
      </c>
      <c r="AK330" s="31">
        <f>ROUND(AA329*AK$5/1200,2)</f>
        <v>0.0</v>
      </c>
      <c r="AL330" s="31">
        <f>MIN(AL$5,R329+AB330)</f>
        <v>0.0</v>
      </c>
      <c r="AM330" s="31">
        <f>MIN(AM$5,S329+AC330)</f>
        <v>0.0</v>
      </c>
      <c r="AN330" s="31">
        <f>MIN(AN$5,T329+AD330)</f>
        <v>0.0</v>
      </c>
      <c r="AO330" s="31">
        <f>MIN(AO$5,U329+AE330)</f>
        <v>0.0</v>
      </c>
      <c r="AP330" s="31">
        <f>MIN(AP$5,V329+AF330)</f>
        <v>0.0</v>
      </c>
      <c r="AQ330" s="31">
        <f>MIN(AQ$5,W329+AG330)</f>
        <v>0.0</v>
      </c>
      <c r="AR330" s="31">
        <f>MIN(AR$5,X329+AH330)</f>
        <v>0.0</v>
      </c>
      <c r="AS330" s="31">
        <f>MIN(AS$5,Y329+AI330)</f>
        <v>0.0</v>
      </c>
      <c r="AT330" s="31">
        <f>MIN(AT$5,Z329+AJ330)</f>
        <v>0.0</v>
      </c>
      <c r="AU330" s="31">
        <f>MIN(AU$5,AA329+AK330)</f>
        <v>0.0</v>
      </c>
    </row>
    <row r="331">
      <c r="A331" s="25" t="str">
        <f>IF(F330&gt;0.005,326,"")</f>
        <v/>
      </c>
      <c r="B331" s="33" t="str">
        <f>IF(A331="","",EDATE(Долги!$D$5,325))</f>
        <v/>
      </c>
      <c r="C331" s="31">
        <f>SUM(H331:Q331)</f>
        <v>0.0</v>
      </c>
      <c r="D331" s="31">
        <f>SUM(AB331:AK331)</f>
        <v>0.0</v>
      </c>
      <c r="E331" s="31">
        <f>C331-D331</f>
        <v>0.0</v>
      </c>
      <c r="F331" s="31">
        <f>SUM(R331:AA331)</f>
        <v>0.0</v>
      </c>
      <c r="G331" s="34" t="str">
        <f>IF(OR(A331="",$F$5&lt;=0),"",REPT("█",ROUND(20*F331/$F$5,0)))</f>
        <v/>
      </c>
      <c r="H331" s="31">
        <f>AL331+MIN(R330+AB331-AL331,MAX(0,ROUND(Долги!$D$19-SUM($AL331:$AU331),2)))</f>
        <v>0.0</v>
      </c>
      <c r="I331" s="31">
        <f>AM331+MIN(S330+AC331-AM331,MAX(0,ROUND(ROUND(Долги!$D$19-SUM($AL331:$AU331),2)-(SUM($H331:H331)-SUM($AL331:AL331)),2)))</f>
        <v>0.0</v>
      </c>
      <c r="J331" s="31">
        <f>AN331+MIN(T330+AD331-AN331,MAX(0,ROUND(ROUND(Долги!$D$19-SUM($AL331:$AU331),2)-(SUM($H331:I331)-SUM($AL331:AM331)),2)))</f>
        <v>0.0</v>
      </c>
      <c r="K331" s="31">
        <f>AO331+MIN(U330+AE331-AO331,MAX(0,ROUND(ROUND(Долги!$D$19-SUM($AL331:$AU331),2)-(SUM($H331:J331)-SUM($AL331:AN331)),2)))</f>
        <v>0.0</v>
      </c>
      <c r="L331" s="31">
        <f>AP331+MIN(V330+AF331-AP331,MAX(0,ROUND(ROUND(Долги!$D$19-SUM($AL331:$AU331),2)-(SUM($H331:K331)-SUM($AL331:AO331)),2)))</f>
        <v>0.0</v>
      </c>
      <c r="M331" s="31">
        <f>AQ331+MIN(W330+AG331-AQ331,MAX(0,ROUND(ROUND(Долги!$D$19-SUM($AL331:$AU331),2)-(SUM($H331:L331)-SUM($AL331:AP331)),2)))</f>
        <v>0.0</v>
      </c>
      <c r="N331" s="31">
        <f>AR331+MIN(X330+AH331-AR331,MAX(0,ROUND(ROUND(Долги!$D$19-SUM($AL331:$AU331),2)-(SUM($H331:M331)-SUM($AL331:AQ331)),2)))</f>
        <v>0.0</v>
      </c>
      <c r="O331" s="31">
        <f>AS331+MIN(Y330+AI331-AS331,MAX(0,ROUND(ROUND(Долги!$D$19-SUM($AL331:$AU331),2)-(SUM($H331:N331)-SUM($AL331:AR331)),2)))</f>
        <v>0.0</v>
      </c>
      <c r="P331" s="31">
        <f>AT331+MIN(Z330+AJ331-AT331,MAX(0,ROUND(ROUND(Долги!$D$19-SUM($AL331:$AU331),2)-(SUM($H331:O331)-SUM($AL331:AS331)),2)))</f>
        <v>0.0</v>
      </c>
      <c r="Q331" s="31">
        <f>AU331+MIN(AA330+AK331-AU331,MAX(0,ROUND(ROUND(Долги!$D$19-SUM($AL331:$AU331),2)-(SUM($H331:P331)-SUM($AL331:AT331)),2)))</f>
        <v>0.0</v>
      </c>
      <c r="R331" s="31">
        <f>IF(R330+AB331-H331&lt;=0.01,0,ROUND(R330+AB331-H331,2))</f>
        <v>0.0</v>
      </c>
      <c r="S331" s="31">
        <f>IF(S330+AC331-I331&lt;=0.01,0,ROUND(S330+AC331-I331,2))</f>
        <v>0.0</v>
      </c>
      <c r="T331" s="31">
        <f>IF(T330+AD331-J331&lt;=0.01,0,ROUND(T330+AD331-J331,2))</f>
        <v>0.0</v>
      </c>
      <c r="U331" s="31">
        <f>IF(U330+AE331-K331&lt;=0.01,0,ROUND(U330+AE331-K331,2))</f>
        <v>0.0</v>
      </c>
      <c r="V331" s="31">
        <f>IF(V330+AF331-L331&lt;=0.01,0,ROUND(V330+AF331-L331,2))</f>
        <v>0.0</v>
      </c>
      <c r="W331" s="31">
        <f>IF(W330+AG331-M331&lt;=0.01,0,ROUND(W330+AG331-M331,2))</f>
        <v>0.0</v>
      </c>
      <c r="X331" s="31">
        <f>IF(X330+AH331-N331&lt;=0.01,0,ROUND(X330+AH331-N331,2))</f>
        <v>0.0</v>
      </c>
      <c r="Y331" s="31">
        <f>IF(Y330+AI331-O331&lt;=0.01,0,ROUND(Y330+AI331-O331,2))</f>
        <v>0.0</v>
      </c>
      <c r="Z331" s="31">
        <f>IF(Z330+AJ331-P331&lt;=0.01,0,ROUND(Z330+AJ331-P331,2))</f>
        <v>0.0</v>
      </c>
      <c r="AA331" s="31">
        <f>IF(AA330+AK331-Q331&lt;=0.01,0,ROUND(AA330+AK331-Q331,2))</f>
        <v>0.0</v>
      </c>
      <c r="AB331" s="31">
        <f>ROUND(R330*AB$5/1200,2)</f>
        <v>0.0</v>
      </c>
      <c r="AC331" s="31">
        <f>ROUND(S330*AC$5/1200,2)</f>
        <v>0.0</v>
      </c>
      <c r="AD331" s="31">
        <f>ROUND(T330*AD$5/1200,2)</f>
        <v>0.0</v>
      </c>
      <c r="AE331" s="31">
        <f>ROUND(U330*AE$5/1200,2)</f>
        <v>0.0</v>
      </c>
      <c r="AF331" s="31">
        <f>ROUND(V330*AF$5/1200,2)</f>
        <v>0.0</v>
      </c>
      <c r="AG331" s="31">
        <f>ROUND(W330*AG$5/1200,2)</f>
        <v>0.0</v>
      </c>
      <c r="AH331" s="31">
        <f>ROUND(X330*AH$5/1200,2)</f>
        <v>0.0</v>
      </c>
      <c r="AI331" s="31">
        <f>ROUND(Y330*AI$5/1200,2)</f>
        <v>0.0</v>
      </c>
      <c r="AJ331" s="31">
        <f>ROUND(Z330*AJ$5/1200,2)</f>
        <v>0.0</v>
      </c>
      <c r="AK331" s="31">
        <f>ROUND(AA330*AK$5/1200,2)</f>
        <v>0.0</v>
      </c>
      <c r="AL331" s="31">
        <f>MIN(AL$5,R330+AB331)</f>
        <v>0.0</v>
      </c>
      <c r="AM331" s="31">
        <f>MIN(AM$5,S330+AC331)</f>
        <v>0.0</v>
      </c>
      <c r="AN331" s="31">
        <f>MIN(AN$5,T330+AD331)</f>
        <v>0.0</v>
      </c>
      <c r="AO331" s="31">
        <f>MIN(AO$5,U330+AE331)</f>
        <v>0.0</v>
      </c>
      <c r="AP331" s="31">
        <f>MIN(AP$5,V330+AF331)</f>
        <v>0.0</v>
      </c>
      <c r="AQ331" s="31">
        <f>MIN(AQ$5,W330+AG331)</f>
        <v>0.0</v>
      </c>
      <c r="AR331" s="31">
        <f>MIN(AR$5,X330+AH331)</f>
        <v>0.0</v>
      </c>
      <c r="AS331" s="31">
        <f>MIN(AS$5,Y330+AI331)</f>
        <v>0.0</v>
      </c>
      <c r="AT331" s="31">
        <f>MIN(AT$5,Z330+AJ331)</f>
        <v>0.0</v>
      </c>
      <c r="AU331" s="31">
        <f>MIN(AU$5,AA330+AK331)</f>
        <v>0.0</v>
      </c>
    </row>
    <row r="332">
      <c r="A332" s="25" t="str">
        <f>IF(F331&gt;0.005,327,"")</f>
        <v/>
      </c>
      <c r="B332" s="33" t="str">
        <f>IF(A332="","",EDATE(Долги!$D$5,326))</f>
        <v/>
      </c>
      <c r="C332" s="31">
        <f>SUM(H332:Q332)</f>
        <v>0.0</v>
      </c>
      <c r="D332" s="31">
        <f>SUM(AB332:AK332)</f>
        <v>0.0</v>
      </c>
      <c r="E332" s="31">
        <f>C332-D332</f>
        <v>0.0</v>
      </c>
      <c r="F332" s="31">
        <f>SUM(R332:AA332)</f>
        <v>0.0</v>
      </c>
      <c r="G332" s="34" t="str">
        <f>IF(OR(A332="",$F$5&lt;=0),"",REPT("█",ROUND(20*F332/$F$5,0)))</f>
        <v/>
      </c>
      <c r="H332" s="31">
        <f>AL332+MIN(R331+AB332-AL332,MAX(0,ROUND(Долги!$D$19-SUM($AL332:$AU332),2)))</f>
        <v>0.0</v>
      </c>
      <c r="I332" s="31">
        <f>AM332+MIN(S331+AC332-AM332,MAX(0,ROUND(ROUND(Долги!$D$19-SUM($AL332:$AU332),2)-(SUM($H332:H332)-SUM($AL332:AL332)),2)))</f>
        <v>0.0</v>
      </c>
      <c r="J332" s="31">
        <f>AN332+MIN(T331+AD332-AN332,MAX(0,ROUND(ROUND(Долги!$D$19-SUM($AL332:$AU332),2)-(SUM($H332:I332)-SUM($AL332:AM332)),2)))</f>
        <v>0.0</v>
      </c>
      <c r="K332" s="31">
        <f>AO332+MIN(U331+AE332-AO332,MAX(0,ROUND(ROUND(Долги!$D$19-SUM($AL332:$AU332),2)-(SUM($H332:J332)-SUM($AL332:AN332)),2)))</f>
        <v>0.0</v>
      </c>
      <c r="L332" s="31">
        <f>AP332+MIN(V331+AF332-AP332,MAX(0,ROUND(ROUND(Долги!$D$19-SUM($AL332:$AU332),2)-(SUM($H332:K332)-SUM($AL332:AO332)),2)))</f>
        <v>0.0</v>
      </c>
      <c r="M332" s="31">
        <f>AQ332+MIN(W331+AG332-AQ332,MAX(0,ROUND(ROUND(Долги!$D$19-SUM($AL332:$AU332),2)-(SUM($H332:L332)-SUM($AL332:AP332)),2)))</f>
        <v>0.0</v>
      </c>
      <c r="N332" s="31">
        <f>AR332+MIN(X331+AH332-AR332,MAX(0,ROUND(ROUND(Долги!$D$19-SUM($AL332:$AU332),2)-(SUM($H332:M332)-SUM($AL332:AQ332)),2)))</f>
        <v>0.0</v>
      </c>
      <c r="O332" s="31">
        <f>AS332+MIN(Y331+AI332-AS332,MAX(0,ROUND(ROUND(Долги!$D$19-SUM($AL332:$AU332),2)-(SUM($H332:N332)-SUM($AL332:AR332)),2)))</f>
        <v>0.0</v>
      </c>
      <c r="P332" s="31">
        <f>AT332+MIN(Z331+AJ332-AT332,MAX(0,ROUND(ROUND(Долги!$D$19-SUM($AL332:$AU332),2)-(SUM($H332:O332)-SUM($AL332:AS332)),2)))</f>
        <v>0.0</v>
      </c>
      <c r="Q332" s="31">
        <f>AU332+MIN(AA331+AK332-AU332,MAX(0,ROUND(ROUND(Долги!$D$19-SUM($AL332:$AU332),2)-(SUM($H332:P332)-SUM($AL332:AT332)),2)))</f>
        <v>0.0</v>
      </c>
      <c r="R332" s="31">
        <f>IF(R331+AB332-H332&lt;=0.01,0,ROUND(R331+AB332-H332,2))</f>
        <v>0.0</v>
      </c>
      <c r="S332" s="31">
        <f>IF(S331+AC332-I332&lt;=0.01,0,ROUND(S331+AC332-I332,2))</f>
        <v>0.0</v>
      </c>
      <c r="T332" s="31">
        <f>IF(T331+AD332-J332&lt;=0.01,0,ROUND(T331+AD332-J332,2))</f>
        <v>0.0</v>
      </c>
      <c r="U332" s="31">
        <f>IF(U331+AE332-K332&lt;=0.01,0,ROUND(U331+AE332-K332,2))</f>
        <v>0.0</v>
      </c>
      <c r="V332" s="31">
        <f>IF(V331+AF332-L332&lt;=0.01,0,ROUND(V331+AF332-L332,2))</f>
        <v>0.0</v>
      </c>
      <c r="W332" s="31">
        <f>IF(W331+AG332-M332&lt;=0.01,0,ROUND(W331+AG332-M332,2))</f>
        <v>0.0</v>
      </c>
      <c r="X332" s="31">
        <f>IF(X331+AH332-N332&lt;=0.01,0,ROUND(X331+AH332-N332,2))</f>
        <v>0.0</v>
      </c>
      <c r="Y332" s="31">
        <f>IF(Y331+AI332-O332&lt;=0.01,0,ROUND(Y331+AI332-O332,2))</f>
        <v>0.0</v>
      </c>
      <c r="Z332" s="31">
        <f>IF(Z331+AJ332-P332&lt;=0.01,0,ROUND(Z331+AJ332-P332,2))</f>
        <v>0.0</v>
      </c>
      <c r="AA332" s="31">
        <f>IF(AA331+AK332-Q332&lt;=0.01,0,ROUND(AA331+AK332-Q332,2))</f>
        <v>0.0</v>
      </c>
      <c r="AB332" s="31">
        <f>ROUND(R331*AB$5/1200,2)</f>
        <v>0.0</v>
      </c>
      <c r="AC332" s="31">
        <f>ROUND(S331*AC$5/1200,2)</f>
        <v>0.0</v>
      </c>
      <c r="AD332" s="31">
        <f>ROUND(T331*AD$5/1200,2)</f>
        <v>0.0</v>
      </c>
      <c r="AE332" s="31">
        <f>ROUND(U331*AE$5/1200,2)</f>
        <v>0.0</v>
      </c>
      <c r="AF332" s="31">
        <f>ROUND(V331*AF$5/1200,2)</f>
        <v>0.0</v>
      </c>
      <c r="AG332" s="31">
        <f>ROUND(W331*AG$5/1200,2)</f>
        <v>0.0</v>
      </c>
      <c r="AH332" s="31">
        <f>ROUND(X331*AH$5/1200,2)</f>
        <v>0.0</v>
      </c>
      <c r="AI332" s="31">
        <f>ROUND(Y331*AI$5/1200,2)</f>
        <v>0.0</v>
      </c>
      <c r="AJ332" s="31">
        <f>ROUND(Z331*AJ$5/1200,2)</f>
        <v>0.0</v>
      </c>
      <c r="AK332" s="31">
        <f>ROUND(AA331*AK$5/1200,2)</f>
        <v>0.0</v>
      </c>
      <c r="AL332" s="31">
        <f>MIN(AL$5,R331+AB332)</f>
        <v>0.0</v>
      </c>
      <c r="AM332" s="31">
        <f>MIN(AM$5,S331+AC332)</f>
        <v>0.0</v>
      </c>
      <c r="AN332" s="31">
        <f>MIN(AN$5,T331+AD332)</f>
        <v>0.0</v>
      </c>
      <c r="AO332" s="31">
        <f>MIN(AO$5,U331+AE332)</f>
        <v>0.0</v>
      </c>
      <c r="AP332" s="31">
        <f>MIN(AP$5,V331+AF332)</f>
        <v>0.0</v>
      </c>
      <c r="AQ332" s="31">
        <f>MIN(AQ$5,W331+AG332)</f>
        <v>0.0</v>
      </c>
      <c r="AR332" s="31">
        <f>MIN(AR$5,X331+AH332)</f>
        <v>0.0</v>
      </c>
      <c r="AS332" s="31">
        <f>MIN(AS$5,Y331+AI332)</f>
        <v>0.0</v>
      </c>
      <c r="AT332" s="31">
        <f>MIN(AT$5,Z331+AJ332)</f>
        <v>0.0</v>
      </c>
      <c r="AU332" s="31">
        <f>MIN(AU$5,AA331+AK332)</f>
        <v>0.0</v>
      </c>
    </row>
    <row r="333">
      <c r="A333" s="25" t="str">
        <f>IF(F332&gt;0.005,328,"")</f>
        <v/>
      </c>
      <c r="B333" s="33" t="str">
        <f>IF(A333="","",EDATE(Долги!$D$5,327))</f>
        <v/>
      </c>
      <c r="C333" s="31">
        <f>SUM(H333:Q333)</f>
        <v>0.0</v>
      </c>
      <c r="D333" s="31">
        <f>SUM(AB333:AK333)</f>
        <v>0.0</v>
      </c>
      <c r="E333" s="31">
        <f>C333-D333</f>
        <v>0.0</v>
      </c>
      <c r="F333" s="31">
        <f>SUM(R333:AA333)</f>
        <v>0.0</v>
      </c>
      <c r="G333" s="34" t="str">
        <f>IF(OR(A333="",$F$5&lt;=0),"",REPT("█",ROUND(20*F333/$F$5,0)))</f>
        <v/>
      </c>
      <c r="H333" s="31">
        <f>AL333+MIN(R332+AB333-AL333,MAX(0,ROUND(Долги!$D$19-SUM($AL333:$AU333),2)))</f>
        <v>0.0</v>
      </c>
      <c r="I333" s="31">
        <f>AM333+MIN(S332+AC333-AM333,MAX(0,ROUND(ROUND(Долги!$D$19-SUM($AL333:$AU333),2)-(SUM($H333:H333)-SUM($AL333:AL333)),2)))</f>
        <v>0.0</v>
      </c>
      <c r="J333" s="31">
        <f>AN333+MIN(T332+AD333-AN333,MAX(0,ROUND(ROUND(Долги!$D$19-SUM($AL333:$AU333),2)-(SUM($H333:I333)-SUM($AL333:AM333)),2)))</f>
        <v>0.0</v>
      </c>
      <c r="K333" s="31">
        <f>AO333+MIN(U332+AE333-AO333,MAX(0,ROUND(ROUND(Долги!$D$19-SUM($AL333:$AU333),2)-(SUM($H333:J333)-SUM($AL333:AN333)),2)))</f>
        <v>0.0</v>
      </c>
      <c r="L333" s="31">
        <f>AP333+MIN(V332+AF333-AP333,MAX(0,ROUND(ROUND(Долги!$D$19-SUM($AL333:$AU333),2)-(SUM($H333:K333)-SUM($AL333:AO333)),2)))</f>
        <v>0.0</v>
      </c>
      <c r="M333" s="31">
        <f>AQ333+MIN(W332+AG333-AQ333,MAX(0,ROUND(ROUND(Долги!$D$19-SUM($AL333:$AU333),2)-(SUM($H333:L333)-SUM($AL333:AP333)),2)))</f>
        <v>0.0</v>
      </c>
      <c r="N333" s="31">
        <f>AR333+MIN(X332+AH333-AR333,MAX(0,ROUND(ROUND(Долги!$D$19-SUM($AL333:$AU333),2)-(SUM($H333:M333)-SUM($AL333:AQ333)),2)))</f>
        <v>0.0</v>
      </c>
      <c r="O333" s="31">
        <f>AS333+MIN(Y332+AI333-AS333,MAX(0,ROUND(ROUND(Долги!$D$19-SUM($AL333:$AU333),2)-(SUM($H333:N333)-SUM($AL333:AR333)),2)))</f>
        <v>0.0</v>
      </c>
      <c r="P333" s="31">
        <f>AT333+MIN(Z332+AJ333-AT333,MAX(0,ROUND(ROUND(Долги!$D$19-SUM($AL333:$AU333),2)-(SUM($H333:O333)-SUM($AL333:AS333)),2)))</f>
        <v>0.0</v>
      </c>
      <c r="Q333" s="31">
        <f>AU333+MIN(AA332+AK333-AU333,MAX(0,ROUND(ROUND(Долги!$D$19-SUM($AL333:$AU333),2)-(SUM($H333:P333)-SUM($AL333:AT333)),2)))</f>
        <v>0.0</v>
      </c>
      <c r="R333" s="31">
        <f>IF(R332+AB333-H333&lt;=0.01,0,ROUND(R332+AB333-H333,2))</f>
        <v>0.0</v>
      </c>
      <c r="S333" s="31">
        <f>IF(S332+AC333-I333&lt;=0.01,0,ROUND(S332+AC333-I333,2))</f>
        <v>0.0</v>
      </c>
      <c r="T333" s="31">
        <f>IF(T332+AD333-J333&lt;=0.01,0,ROUND(T332+AD333-J333,2))</f>
        <v>0.0</v>
      </c>
      <c r="U333" s="31">
        <f>IF(U332+AE333-K333&lt;=0.01,0,ROUND(U332+AE333-K333,2))</f>
        <v>0.0</v>
      </c>
      <c r="V333" s="31">
        <f>IF(V332+AF333-L333&lt;=0.01,0,ROUND(V332+AF333-L333,2))</f>
        <v>0.0</v>
      </c>
      <c r="W333" s="31">
        <f>IF(W332+AG333-M333&lt;=0.01,0,ROUND(W332+AG333-M333,2))</f>
        <v>0.0</v>
      </c>
      <c r="X333" s="31">
        <f>IF(X332+AH333-N333&lt;=0.01,0,ROUND(X332+AH333-N333,2))</f>
        <v>0.0</v>
      </c>
      <c r="Y333" s="31">
        <f>IF(Y332+AI333-O333&lt;=0.01,0,ROUND(Y332+AI333-O333,2))</f>
        <v>0.0</v>
      </c>
      <c r="Z333" s="31">
        <f>IF(Z332+AJ333-P333&lt;=0.01,0,ROUND(Z332+AJ333-P333,2))</f>
        <v>0.0</v>
      </c>
      <c r="AA333" s="31">
        <f>IF(AA332+AK333-Q333&lt;=0.01,0,ROUND(AA332+AK333-Q333,2))</f>
        <v>0.0</v>
      </c>
      <c r="AB333" s="31">
        <f>ROUND(R332*AB$5/1200,2)</f>
        <v>0.0</v>
      </c>
      <c r="AC333" s="31">
        <f>ROUND(S332*AC$5/1200,2)</f>
        <v>0.0</v>
      </c>
      <c r="AD333" s="31">
        <f>ROUND(T332*AD$5/1200,2)</f>
        <v>0.0</v>
      </c>
      <c r="AE333" s="31">
        <f>ROUND(U332*AE$5/1200,2)</f>
        <v>0.0</v>
      </c>
      <c r="AF333" s="31">
        <f>ROUND(V332*AF$5/1200,2)</f>
        <v>0.0</v>
      </c>
      <c r="AG333" s="31">
        <f>ROUND(W332*AG$5/1200,2)</f>
        <v>0.0</v>
      </c>
      <c r="AH333" s="31">
        <f>ROUND(X332*AH$5/1200,2)</f>
        <v>0.0</v>
      </c>
      <c r="AI333" s="31">
        <f>ROUND(Y332*AI$5/1200,2)</f>
        <v>0.0</v>
      </c>
      <c r="AJ333" s="31">
        <f>ROUND(Z332*AJ$5/1200,2)</f>
        <v>0.0</v>
      </c>
      <c r="AK333" s="31">
        <f>ROUND(AA332*AK$5/1200,2)</f>
        <v>0.0</v>
      </c>
      <c r="AL333" s="31">
        <f>MIN(AL$5,R332+AB333)</f>
        <v>0.0</v>
      </c>
      <c r="AM333" s="31">
        <f>MIN(AM$5,S332+AC333)</f>
        <v>0.0</v>
      </c>
      <c r="AN333" s="31">
        <f>MIN(AN$5,T332+AD333)</f>
        <v>0.0</v>
      </c>
      <c r="AO333" s="31">
        <f>MIN(AO$5,U332+AE333)</f>
        <v>0.0</v>
      </c>
      <c r="AP333" s="31">
        <f>MIN(AP$5,V332+AF333)</f>
        <v>0.0</v>
      </c>
      <c r="AQ333" s="31">
        <f>MIN(AQ$5,W332+AG333)</f>
        <v>0.0</v>
      </c>
      <c r="AR333" s="31">
        <f>MIN(AR$5,X332+AH333)</f>
        <v>0.0</v>
      </c>
      <c r="AS333" s="31">
        <f>MIN(AS$5,Y332+AI333)</f>
        <v>0.0</v>
      </c>
      <c r="AT333" s="31">
        <f>MIN(AT$5,Z332+AJ333)</f>
        <v>0.0</v>
      </c>
      <c r="AU333" s="31">
        <f>MIN(AU$5,AA332+AK333)</f>
        <v>0.0</v>
      </c>
    </row>
    <row r="334">
      <c r="A334" s="25" t="str">
        <f>IF(F333&gt;0.005,329,"")</f>
        <v/>
      </c>
      <c r="B334" s="33" t="str">
        <f>IF(A334="","",EDATE(Долги!$D$5,328))</f>
        <v/>
      </c>
      <c r="C334" s="31">
        <f>SUM(H334:Q334)</f>
        <v>0.0</v>
      </c>
      <c r="D334" s="31">
        <f>SUM(AB334:AK334)</f>
        <v>0.0</v>
      </c>
      <c r="E334" s="31">
        <f>C334-D334</f>
        <v>0.0</v>
      </c>
      <c r="F334" s="31">
        <f>SUM(R334:AA334)</f>
        <v>0.0</v>
      </c>
      <c r="G334" s="34" t="str">
        <f>IF(OR(A334="",$F$5&lt;=0),"",REPT("█",ROUND(20*F334/$F$5,0)))</f>
        <v/>
      </c>
      <c r="H334" s="31">
        <f>AL334+MIN(R333+AB334-AL334,MAX(0,ROUND(Долги!$D$19-SUM($AL334:$AU334),2)))</f>
        <v>0.0</v>
      </c>
      <c r="I334" s="31">
        <f>AM334+MIN(S333+AC334-AM334,MAX(0,ROUND(ROUND(Долги!$D$19-SUM($AL334:$AU334),2)-(SUM($H334:H334)-SUM($AL334:AL334)),2)))</f>
        <v>0.0</v>
      </c>
      <c r="J334" s="31">
        <f>AN334+MIN(T333+AD334-AN334,MAX(0,ROUND(ROUND(Долги!$D$19-SUM($AL334:$AU334),2)-(SUM($H334:I334)-SUM($AL334:AM334)),2)))</f>
        <v>0.0</v>
      </c>
      <c r="K334" s="31">
        <f>AO334+MIN(U333+AE334-AO334,MAX(0,ROUND(ROUND(Долги!$D$19-SUM($AL334:$AU334),2)-(SUM($H334:J334)-SUM($AL334:AN334)),2)))</f>
        <v>0.0</v>
      </c>
      <c r="L334" s="31">
        <f>AP334+MIN(V333+AF334-AP334,MAX(0,ROUND(ROUND(Долги!$D$19-SUM($AL334:$AU334),2)-(SUM($H334:K334)-SUM($AL334:AO334)),2)))</f>
        <v>0.0</v>
      </c>
      <c r="M334" s="31">
        <f>AQ334+MIN(W333+AG334-AQ334,MAX(0,ROUND(ROUND(Долги!$D$19-SUM($AL334:$AU334),2)-(SUM($H334:L334)-SUM($AL334:AP334)),2)))</f>
        <v>0.0</v>
      </c>
      <c r="N334" s="31">
        <f>AR334+MIN(X333+AH334-AR334,MAX(0,ROUND(ROUND(Долги!$D$19-SUM($AL334:$AU334),2)-(SUM($H334:M334)-SUM($AL334:AQ334)),2)))</f>
        <v>0.0</v>
      </c>
      <c r="O334" s="31">
        <f>AS334+MIN(Y333+AI334-AS334,MAX(0,ROUND(ROUND(Долги!$D$19-SUM($AL334:$AU334),2)-(SUM($H334:N334)-SUM($AL334:AR334)),2)))</f>
        <v>0.0</v>
      </c>
      <c r="P334" s="31">
        <f>AT334+MIN(Z333+AJ334-AT334,MAX(0,ROUND(ROUND(Долги!$D$19-SUM($AL334:$AU334),2)-(SUM($H334:O334)-SUM($AL334:AS334)),2)))</f>
        <v>0.0</v>
      </c>
      <c r="Q334" s="31">
        <f>AU334+MIN(AA333+AK334-AU334,MAX(0,ROUND(ROUND(Долги!$D$19-SUM($AL334:$AU334),2)-(SUM($H334:P334)-SUM($AL334:AT334)),2)))</f>
        <v>0.0</v>
      </c>
      <c r="R334" s="31">
        <f>IF(R333+AB334-H334&lt;=0.01,0,ROUND(R333+AB334-H334,2))</f>
        <v>0.0</v>
      </c>
      <c r="S334" s="31">
        <f>IF(S333+AC334-I334&lt;=0.01,0,ROUND(S333+AC334-I334,2))</f>
        <v>0.0</v>
      </c>
      <c r="T334" s="31">
        <f>IF(T333+AD334-J334&lt;=0.01,0,ROUND(T333+AD334-J334,2))</f>
        <v>0.0</v>
      </c>
      <c r="U334" s="31">
        <f>IF(U333+AE334-K334&lt;=0.01,0,ROUND(U333+AE334-K334,2))</f>
        <v>0.0</v>
      </c>
      <c r="V334" s="31">
        <f>IF(V333+AF334-L334&lt;=0.01,0,ROUND(V333+AF334-L334,2))</f>
        <v>0.0</v>
      </c>
      <c r="W334" s="31">
        <f>IF(W333+AG334-M334&lt;=0.01,0,ROUND(W333+AG334-M334,2))</f>
        <v>0.0</v>
      </c>
      <c r="X334" s="31">
        <f>IF(X333+AH334-N334&lt;=0.01,0,ROUND(X333+AH334-N334,2))</f>
        <v>0.0</v>
      </c>
      <c r="Y334" s="31">
        <f>IF(Y333+AI334-O334&lt;=0.01,0,ROUND(Y333+AI334-O334,2))</f>
        <v>0.0</v>
      </c>
      <c r="Z334" s="31">
        <f>IF(Z333+AJ334-P334&lt;=0.01,0,ROUND(Z333+AJ334-P334,2))</f>
        <v>0.0</v>
      </c>
      <c r="AA334" s="31">
        <f>IF(AA333+AK334-Q334&lt;=0.01,0,ROUND(AA333+AK334-Q334,2))</f>
        <v>0.0</v>
      </c>
      <c r="AB334" s="31">
        <f>ROUND(R333*AB$5/1200,2)</f>
        <v>0.0</v>
      </c>
      <c r="AC334" s="31">
        <f>ROUND(S333*AC$5/1200,2)</f>
        <v>0.0</v>
      </c>
      <c r="AD334" s="31">
        <f>ROUND(T333*AD$5/1200,2)</f>
        <v>0.0</v>
      </c>
      <c r="AE334" s="31">
        <f>ROUND(U333*AE$5/1200,2)</f>
        <v>0.0</v>
      </c>
      <c r="AF334" s="31">
        <f>ROUND(V333*AF$5/1200,2)</f>
        <v>0.0</v>
      </c>
      <c r="AG334" s="31">
        <f>ROUND(W333*AG$5/1200,2)</f>
        <v>0.0</v>
      </c>
      <c r="AH334" s="31">
        <f>ROUND(X333*AH$5/1200,2)</f>
        <v>0.0</v>
      </c>
      <c r="AI334" s="31">
        <f>ROUND(Y333*AI$5/1200,2)</f>
        <v>0.0</v>
      </c>
      <c r="AJ334" s="31">
        <f>ROUND(Z333*AJ$5/1200,2)</f>
        <v>0.0</v>
      </c>
      <c r="AK334" s="31">
        <f>ROUND(AA333*AK$5/1200,2)</f>
        <v>0.0</v>
      </c>
      <c r="AL334" s="31">
        <f>MIN(AL$5,R333+AB334)</f>
        <v>0.0</v>
      </c>
      <c r="AM334" s="31">
        <f>MIN(AM$5,S333+AC334)</f>
        <v>0.0</v>
      </c>
      <c r="AN334" s="31">
        <f>MIN(AN$5,T333+AD334)</f>
        <v>0.0</v>
      </c>
      <c r="AO334" s="31">
        <f>MIN(AO$5,U333+AE334)</f>
        <v>0.0</v>
      </c>
      <c r="AP334" s="31">
        <f>MIN(AP$5,V333+AF334)</f>
        <v>0.0</v>
      </c>
      <c r="AQ334" s="31">
        <f>MIN(AQ$5,W333+AG334)</f>
        <v>0.0</v>
      </c>
      <c r="AR334" s="31">
        <f>MIN(AR$5,X333+AH334)</f>
        <v>0.0</v>
      </c>
      <c r="AS334" s="31">
        <f>MIN(AS$5,Y333+AI334)</f>
        <v>0.0</v>
      </c>
      <c r="AT334" s="31">
        <f>MIN(AT$5,Z333+AJ334)</f>
        <v>0.0</v>
      </c>
      <c r="AU334" s="31">
        <f>MIN(AU$5,AA333+AK334)</f>
        <v>0.0</v>
      </c>
    </row>
    <row r="335">
      <c r="A335" s="25" t="str">
        <f>IF(F334&gt;0.005,330,"")</f>
        <v/>
      </c>
      <c r="B335" s="33" t="str">
        <f>IF(A335="","",EDATE(Долги!$D$5,329))</f>
        <v/>
      </c>
      <c r="C335" s="31">
        <f>SUM(H335:Q335)</f>
        <v>0.0</v>
      </c>
      <c r="D335" s="31">
        <f>SUM(AB335:AK335)</f>
        <v>0.0</v>
      </c>
      <c r="E335" s="31">
        <f>C335-D335</f>
        <v>0.0</v>
      </c>
      <c r="F335" s="31">
        <f>SUM(R335:AA335)</f>
        <v>0.0</v>
      </c>
      <c r="G335" s="34" t="str">
        <f>IF(OR(A335="",$F$5&lt;=0),"",REPT("█",ROUND(20*F335/$F$5,0)))</f>
        <v/>
      </c>
      <c r="H335" s="31">
        <f>AL335+MIN(R334+AB335-AL335,MAX(0,ROUND(Долги!$D$19-SUM($AL335:$AU335),2)))</f>
        <v>0.0</v>
      </c>
      <c r="I335" s="31">
        <f>AM335+MIN(S334+AC335-AM335,MAX(0,ROUND(ROUND(Долги!$D$19-SUM($AL335:$AU335),2)-(SUM($H335:H335)-SUM($AL335:AL335)),2)))</f>
        <v>0.0</v>
      </c>
      <c r="J335" s="31">
        <f>AN335+MIN(T334+AD335-AN335,MAX(0,ROUND(ROUND(Долги!$D$19-SUM($AL335:$AU335),2)-(SUM($H335:I335)-SUM($AL335:AM335)),2)))</f>
        <v>0.0</v>
      </c>
      <c r="K335" s="31">
        <f>AO335+MIN(U334+AE335-AO335,MAX(0,ROUND(ROUND(Долги!$D$19-SUM($AL335:$AU335),2)-(SUM($H335:J335)-SUM($AL335:AN335)),2)))</f>
        <v>0.0</v>
      </c>
      <c r="L335" s="31">
        <f>AP335+MIN(V334+AF335-AP335,MAX(0,ROUND(ROUND(Долги!$D$19-SUM($AL335:$AU335),2)-(SUM($H335:K335)-SUM($AL335:AO335)),2)))</f>
        <v>0.0</v>
      </c>
      <c r="M335" s="31">
        <f>AQ335+MIN(W334+AG335-AQ335,MAX(0,ROUND(ROUND(Долги!$D$19-SUM($AL335:$AU335),2)-(SUM($H335:L335)-SUM($AL335:AP335)),2)))</f>
        <v>0.0</v>
      </c>
      <c r="N335" s="31">
        <f>AR335+MIN(X334+AH335-AR335,MAX(0,ROUND(ROUND(Долги!$D$19-SUM($AL335:$AU335),2)-(SUM($H335:M335)-SUM($AL335:AQ335)),2)))</f>
        <v>0.0</v>
      </c>
      <c r="O335" s="31">
        <f>AS335+MIN(Y334+AI335-AS335,MAX(0,ROUND(ROUND(Долги!$D$19-SUM($AL335:$AU335),2)-(SUM($H335:N335)-SUM($AL335:AR335)),2)))</f>
        <v>0.0</v>
      </c>
      <c r="P335" s="31">
        <f>AT335+MIN(Z334+AJ335-AT335,MAX(0,ROUND(ROUND(Долги!$D$19-SUM($AL335:$AU335),2)-(SUM($H335:O335)-SUM($AL335:AS335)),2)))</f>
        <v>0.0</v>
      </c>
      <c r="Q335" s="31">
        <f>AU335+MIN(AA334+AK335-AU335,MAX(0,ROUND(ROUND(Долги!$D$19-SUM($AL335:$AU335),2)-(SUM($H335:P335)-SUM($AL335:AT335)),2)))</f>
        <v>0.0</v>
      </c>
      <c r="R335" s="31">
        <f>IF(R334+AB335-H335&lt;=0.01,0,ROUND(R334+AB335-H335,2))</f>
        <v>0.0</v>
      </c>
      <c r="S335" s="31">
        <f>IF(S334+AC335-I335&lt;=0.01,0,ROUND(S334+AC335-I335,2))</f>
        <v>0.0</v>
      </c>
      <c r="T335" s="31">
        <f>IF(T334+AD335-J335&lt;=0.01,0,ROUND(T334+AD335-J335,2))</f>
        <v>0.0</v>
      </c>
      <c r="U335" s="31">
        <f>IF(U334+AE335-K335&lt;=0.01,0,ROUND(U334+AE335-K335,2))</f>
        <v>0.0</v>
      </c>
      <c r="V335" s="31">
        <f>IF(V334+AF335-L335&lt;=0.01,0,ROUND(V334+AF335-L335,2))</f>
        <v>0.0</v>
      </c>
      <c r="W335" s="31">
        <f>IF(W334+AG335-M335&lt;=0.01,0,ROUND(W334+AG335-M335,2))</f>
        <v>0.0</v>
      </c>
      <c r="X335" s="31">
        <f>IF(X334+AH335-N335&lt;=0.01,0,ROUND(X334+AH335-N335,2))</f>
        <v>0.0</v>
      </c>
      <c r="Y335" s="31">
        <f>IF(Y334+AI335-O335&lt;=0.01,0,ROUND(Y334+AI335-O335,2))</f>
        <v>0.0</v>
      </c>
      <c r="Z335" s="31">
        <f>IF(Z334+AJ335-P335&lt;=0.01,0,ROUND(Z334+AJ335-P335,2))</f>
        <v>0.0</v>
      </c>
      <c r="AA335" s="31">
        <f>IF(AA334+AK335-Q335&lt;=0.01,0,ROUND(AA334+AK335-Q335,2))</f>
        <v>0.0</v>
      </c>
      <c r="AB335" s="31">
        <f>ROUND(R334*AB$5/1200,2)</f>
        <v>0.0</v>
      </c>
      <c r="AC335" s="31">
        <f>ROUND(S334*AC$5/1200,2)</f>
        <v>0.0</v>
      </c>
      <c r="AD335" s="31">
        <f>ROUND(T334*AD$5/1200,2)</f>
        <v>0.0</v>
      </c>
      <c r="AE335" s="31">
        <f>ROUND(U334*AE$5/1200,2)</f>
        <v>0.0</v>
      </c>
      <c r="AF335" s="31">
        <f>ROUND(V334*AF$5/1200,2)</f>
        <v>0.0</v>
      </c>
      <c r="AG335" s="31">
        <f>ROUND(W334*AG$5/1200,2)</f>
        <v>0.0</v>
      </c>
      <c r="AH335" s="31">
        <f>ROUND(X334*AH$5/1200,2)</f>
        <v>0.0</v>
      </c>
      <c r="AI335" s="31">
        <f>ROUND(Y334*AI$5/1200,2)</f>
        <v>0.0</v>
      </c>
      <c r="AJ335" s="31">
        <f>ROUND(Z334*AJ$5/1200,2)</f>
        <v>0.0</v>
      </c>
      <c r="AK335" s="31">
        <f>ROUND(AA334*AK$5/1200,2)</f>
        <v>0.0</v>
      </c>
      <c r="AL335" s="31">
        <f>MIN(AL$5,R334+AB335)</f>
        <v>0.0</v>
      </c>
      <c r="AM335" s="31">
        <f>MIN(AM$5,S334+AC335)</f>
        <v>0.0</v>
      </c>
      <c r="AN335" s="31">
        <f>MIN(AN$5,T334+AD335)</f>
        <v>0.0</v>
      </c>
      <c r="AO335" s="31">
        <f>MIN(AO$5,U334+AE335)</f>
        <v>0.0</v>
      </c>
      <c r="AP335" s="31">
        <f>MIN(AP$5,V334+AF335)</f>
        <v>0.0</v>
      </c>
      <c r="AQ335" s="31">
        <f>MIN(AQ$5,W334+AG335)</f>
        <v>0.0</v>
      </c>
      <c r="AR335" s="31">
        <f>MIN(AR$5,X334+AH335)</f>
        <v>0.0</v>
      </c>
      <c r="AS335" s="31">
        <f>MIN(AS$5,Y334+AI335)</f>
        <v>0.0</v>
      </c>
      <c r="AT335" s="31">
        <f>MIN(AT$5,Z334+AJ335)</f>
        <v>0.0</v>
      </c>
      <c r="AU335" s="31">
        <f>MIN(AU$5,AA334+AK335)</f>
        <v>0.0</v>
      </c>
    </row>
    <row r="336">
      <c r="A336" s="25" t="str">
        <f>IF(F335&gt;0.005,331,"")</f>
        <v/>
      </c>
      <c r="B336" s="33" t="str">
        <f>IF(A336="","",EDATE(Долги!$D$5,330))</f>
        <v/>
      </c>
      <c r="C336" s="31">
        <f>SUM(H336:Q336)</f>
        <v>0.0</v>
      </c>
      <c r="D336" s="31">
        <f>SUM(AB336:AK336)</f>
        <v>0.0</v>
      </c>
      <c r="E336" s="31">
        <f>C336-D336</f>
        <v>0.0</v>
      </c>
      <c r="F336" s="31">
        <f>SUM(R336:AA336)</f>
        <v>0.0</v>
      </c>
      <c r="G336" s="34" t="str">
        <f>IF(OR(A336="",$F$5&lt;=0),"",REPT("█",ROUND(20*F336/$F$5,0)))</f>
        <v/>
      </c>
      <c r="H336" s="31">
        <f>AL336+MIN(R335+AB336-AL336,MAX(0,ROUND(Долги!$D$19-SUM($AL336:$AU336),2)))</f>
        <v>0.0</v>
      </c>
      <c r="I336" s="31">
        <f>AM336+MIN(S335+AC336-AM336,MAX(0,ROUND(ROUND(Долги!$D$19-SUM($AL336:$AU336),2)-(SUM($H336:H336)-SUM($AL336:AL336)),2)))</f>
        <v>0.0</v>
      </c>
      <c r="J336" s="31">
        <f>AN336+MIN(T335+AD336-AN336,MAX(0,ROUND(ROUND(Долги!$D$19-SUM($AL336:$AU336),2)-(SUM($H336:I336)-SUM($AL336:AM336)),2)))</f>
        <v>0.0</v>
      </c>
      <c r="K336" s="31">
        <f>AO336+MIN(U335+AE336-AO336,MAX(0,ROUND(ROUND(Долги!$D$19-SUM($AL336:$AU336),2)-(SUM($H336:J336)-SUM($AL336:AN336)),2)))</f>
        <v>0.0</v>
      </c>
      <c r="L336" s="31">
        <f>AP336+MIN(V335+AF336-AP336,MAX(0,ROUND(ROUND(Долги!$D$19-SUM($AL336:$AU336),2)-(SUM($H336:K336)-SUM($AL336:AO336)),2)))</f>
        <v>0.0</v>
      </c>
      <c r="M336" s="31">
        <f>AQ336+MIN(W335+AG336-AQ336,MAX(0,ROUND(ROUND(Долги!$D$19-SUM($AL336:$AU336),2)-(SUM($H336:L336)-SUM($AL336:AP336)),2)))</f>
        <v>0.0</v>
      </c>
      <c r="N336" s="31">
        <f>AR336+MIN(X335+AH336-AR336,MAX(0,ROUND(ROUND(Долги!$D$19-SUM($AL336:$AU336),2)-(SUM($H336:M336)-SUM($AL336:AQ336)),2)))</f>
        <v>0.0</v>
      </c>
      <c r="O336" s="31">
        <f>AS336+MIN(Y335+AI336-AS336,MAX(0,ROUND(ROUND(Долги!$D$19-SUM($AL336:$AU336),2)-(SUM($H336:N336)-SUM($AL336:AR336)),2)))</f>
        <v>0.0</v>
      </c>
      <c r="P336" s="31">
        <f>AT336+MIN(Z335+AJ336-AT336,MAX(0,ROUND(ROUND(Долги!$D$19-SUM($AL336:$AU336),2)-(SUM($H336:O336)-SUM($AL336:AS336)),2)))</f>
        <v>0.0</v>
      </c>
      <c r="Q336" s="31">
        <f>AU336+MIN(AA335+AK336-AU336,MAX(0,ROUND(ROUND(Долги!$D$19-SUM($AL336:$AU336),2)-(SUM($H336:P336)-SUM($AL336:AT336)),2)))</f>
        <v>0.0</v>
      </c>
      <c r="R336" s="31">
        <f>IF(R335+AB336-H336&lt;=0.01,0,ROUND(R335+AB336-H336,2))</f>
        <v>0.0</v>
      </c>
      <c r="S336" s="31">
        <f>IF(S335+AC336-I336&lt;=0.01,0,ROUND(S335+AC336-I336,2))</f>
        <v>0.0</v>
      </c>
      <c r="T336" s="31">
        <f>IF(T335+AD336-J336&lt;=0.01,0,ROUND(T335+AD336-J336,2))</f>
        <v>0.0</v>
      </c>
      <c r="U336" s="31">
        <f>IF(U335+AE336-K336&lt;=0.01,0,ROUND(U335+AE336-K336,2))</f>
        <v>0.0</v>
      </c>
      <c r="V336" s="31">
        <f>IF(V335+AF336-L336&lt;=0.01,0,ROUND(V335+AF336-L336,2))</f>
        <v>0.0</v>
      </c>
      <c r="W336" s="31">
        <f>IF(W335+AG336-M336&lt;=0.01,0,ROUND(W335+AG336-M336,2))</f>
        <v>0.0</v>
      </c>
      <c r="X336" s="31">
        <f>IF(X335+AH336-N336&lt;=0.01,0,ROUND(X335+AH336-N336,2))</f>
        <v>0.0</v>
      </c>
      <c r="Y336" s="31">
        <f>IF(Y335+AI336-O336&lt;=0.01,0,ROUND(Y335+AI336-O336,2))</f>
        <v>0.0</v>
      </c>
      <c r="Z336" s="31">
        <f>IF(Z335+AJ336-P336&lt;=0.01,0,ROUND(Z335+AJ336-P336,2))</f>
        <v>0.0</v>
      </c>
      <c r="AA336" s="31">
        <f>IF(AA335+AK336-Q336&lt;=0.01,0,ROUND(AA335+AK336-Q336,2))</f>
        <v>0.0</v>
      </c>
      <c r="AB336" s="31">
        <f>ROUND(R335*AB$5/1200,2)</f>
        <v>0.0</v>
      </c>
      <c r="AC336" s="31">
        <f>ROUND(S335*AC$5/1200,2)</f>
        <v>0.0</v>
      </c>
      <c r="AD336" s="31">
        <f>ROUND(T335*AD$5/1200,2)</f>
        <v>0.0</v>
      </c>
      <c r="AE336" s="31">
        <f>ROUND(U335*AE$5/1200,2)</f>
        <v>0.0</v>
      </c>
      <c r="AF336" s="31">
        <f>ROUND(V335*AF$5/1200,2)</f>
        <v>0.0</v>
      </c>
      <c r="AG336" s="31">
        <f>ROUND(W335*AG$5/1200,2)</f>
        <v>0.0</v>
      </c>
      <c r="AH336" s="31">
        <f>ROUND(X335*AH$5/1200,2)</f>
        <v>0.0</v>
      </c>
      <c r="AI336" s="31">
        <f>ROUND(Y335*AI$5/1200,2)</f>
        <v>0.0</v>
      </c>
      <c r="AJ336" s="31">
        <f>ROUND(Z335*AJ$5/1200,2)</f>
        <v>0.0</v>
      </c>
      <c r="AK336" s="31">
        <f>ROUND(AA335*AK$5/1200,2)</f>
        <v>0.0</v>
      </c>
      <c r="AL336" s="31">
        <f>MIN(AL$5,R335+AB336)</f>
        <v>0.0</v>
      </c>
      <c r="AM336" s="31">
        <f>MIN(AM$5,S335+AC336)</f>
        <v>0.0</v>
      </c>
      <c r="AN336" s="31">
        <f>MIN(AN$5,T335+AD336)</f>
        <v>0.0</v>
      </c>
      <c r="AO336" s="31">
        <f>MIN(AO$5,U335+AE336)</f>
        <v>0.0</v>
      </c>
      <c r="AP336" s="31">
        <f>MIN(AP$5,V335+AF336)</f>
        <v>0.0</v>
      </c>
      <c r="AQ336" s="31">
        <f>MIN(AQ$5,W335+AG336)</f>
        <v>0.0</v>
      </c>
      <c r="AR336" s="31">
        <f>MIN(AR$5,X335+AH336)</f>
        <v>0.0</v>
      </c>
      <c r="AS336" s="31">
        <f>MIN(AS$5,Y335+AI336)</f>
        <v>0.0</v>
      </c>
      <c r="AT336" s="31">
        <f>MIN(AT$5,Z335+AJ336)</f>
        <v>0.0</v>
      </c>
      <c r="AU336" s="31">
        <f>MIN(AU$5,AA335+AK336)</f>
        <v>0.0</v>
      </c>
    </row>
    <row r="337">
      <c r="A337" s="25" t="str">
        <f>IF(F336&gt;0.005,332,"")</f>
        <v/>
      </c>
      <c r="B337" s="33" t="str">
        <f>IF(A337="","",EDATE(Долги!$D$5,331))</f>
        <v/>
      </c>
      <c r="C337" s="31">
        <f>SUM(H337:Q337)</f>
        <v>0.0</v>
      </c>
      <c r="D337" s="31">
        <f>SUM(AB337:AK337)</f>
        <v>0.0</v>
      </c>
      <c r="E337" s="31">
        <f>C337-D337</f>
        <v>0.0</v>
      </c>
      <c r="F337" s="31">
        <f>SUM(R337:AA337)</f>
        <v>0.0</v>
      </c>
      <c r="G337" s="34" t="str">
        <f>IF(OR(A337="",$F$5&lt;=0),"",REPT("█",ROUND(20*F337/$F$5,0)))</f>
        <v/>
      </c>
      <c r="H337" s="31">
        <f>AL337+MIN(R336+AB337-AL337,MAX(0,ROUND(Долги!$D$19-SUM($AL337:$AU337),2)))</f>
        <v>0.0</v>
      </c>
      <c r="I337" s="31">
        <f>AM337+MIN(S336+AC337-AM337,MAX(0,ROUND(ROUND(Долги!$D$19-SUM($AL337:$AU337),2)-(SUM($H337:H337)-SUM($AL337:AL337)),2)))</f>
        <v>0.0</v>
      </c>
      <c r="J337" s="31">
        <f>AN337+MIN(T336+AD337-AN337,MAX(0,ROUND(ROUND(Долги!$D$19-SUM($AL337:$AU337),2)-(SUM($H337:I337)-SUM($AL337:AM337)),2)))</f>
        <v>0.0</v>
      </c>
      <c r="K337" s="31">
        <f>AO337+MIN(U336+AE337-AO337,MAX(0,ROUND(ROUND(Долги!$D$19-SUM($AL337:$AU337),2)-(SUM($H337:J337)-SUM($AL337:AN337)),2)))</f>
        <v>0.0</v>
      </c>
      <c r="L337" s="31">
        <f>AP337+MIN(V336+AF337-AP337,MAX(0,ROUND(ROUND(Долги!$D$19-SUM($AL337:$AU337),2)-(SUM($H337:K337)-SUM($AL337:AO337)),2)))</f>
        <v>0.0</v>
      </c>
      <c r="M337" s="31">
        <f>AQ337+MIN(W336+AG337-AQ337,MAX(0,ROUND(ROUND(Долги!$D$19-SUM($AL337:$AU337),2)-(SUM($H337:L337)-SUM($AL337:AP337)),2)))</f>
        <v>0.0</v>
      </c>
      <c r="N337" s="31">
        <f>AR337+MIN(X336+AH337-AR337,MAX(0,ROUND(ROUND(Долги!$D$19-SUM($AL337:$AU337),2)-(SUM($H337:M337)-SUM($AL337:AQ337)),2)))</f>
        <v>0.0</v>
      </c>
      <c r="O337" s="31">
        <f>AS337+MIN(Y336+AI337-AS337,MAX(0,ROUND(ROUND(Долги!$D$19-SUM($AL337:$AU337),2)-(SUM($H337:N337)-SUM($AL337:AR337)),2)))</f>
        <v>0.0</v>
      </c>
      <c r="P337" s="31">
        <f>AT337+MIN(Z336+AJ337-AT337,MAX(0,ROUND(ROUND(Долги!$D$19-SUM($AL337:$AU337),2)-(SUM($H337:O337)-SUM($AL337:AS337)),2)))</f>
        <v>0.0</v>
      </c>
      <c r="Q337" s="31">
        <f>AU337+MIN(AA336+AK337-AU337,MAX(0,ROUND(ROUND(Долги!$D$19-SUM($AL337:$AU337),2)-(SUM($H337:P337)-SUM($AL337:AT337)),2)))</f>
        <v>0.0</v>
      </c>
      <c r="R337" s="31">
        <f>IF(R336+AB337-H337&lt;=0.01,0,ROUND(R336+AB337-H337,2))</f>
        <v>0.0</v>
      </c>
      <c r="S337" s="31">
        <f>IF(S336+AC337-I337&lt;=0.01,0,ROUND(S336+AC337-I337,2))</f>
        <v>0.0</v>
      </c>
      <c r="T337" s="31">
        <f>IF(T336+AD337-J337&lt;=0.01,0,ROUND(T336+AD337-J337,2))</f>
        <v>0.0</v>
      </c>
      <c r="U337" s="31">
        <f>IF(U336+AE337-K337&lt;=0.01,0,ROUND(U336+AE337-K337,2))</f>
        <v>0.0</v>
      </c>
      <c r="V337" s="31">
        <f>IF(V336+AF337-L337&lt;=0.01,0,ROUND(V336+AF337-L337,2))</f>
        <v>0.0</v>
      </c>
      <c r="W337" s="31">
        <f>IF(W336+AG337-M337&lt;=0.01,0,ROUND(W336+AG337-M337,2))</f>
        <v>0.0</v>
      </c>
      <c r="X337" s="31">
        <f>IF(X336+AH337-N337&lt;=0.01,0,ROUND(X336+AH337-N337,2))</f>
        <v>0.0</v>
      </c>
      <c r="Y337" s="31">
        <f>IF(Y336+AI337-O337&lt;=0.01,0,ROUND(Y336+AI337-O337,2))</f>
        <v>0.0</v>
      </c>
      <c r="Z337" s="31">
        <f>IF(Z336+AJ337-P337&lt;=0.01,0,ROUND(Z336+AJ337-P337,2))</f>
        <v>0.0</v>
      </c>
      <c r="AA337" s="31">
        <f>IF(AA336+AK337-Q337&lt;=0.01,0,ROUND(AA336+AK337-Q337,2))</f>
        <v>0.0</v>
      </c>
      <c r="AB337" s="31">
        <f>ROUND(R336*AB$5/1200,2)</f>
        <v>0.0</v>
      </c>
      <c r="AC337" s="31">
        <f>ROUND(S336*AC$5/1200,2)</f>
        <v>0.0</v>
      </c>
      <c r="AD337" s="31">
        <f>ROUND(T336*AD$5/1200,2)</f>
        <v>0.0</v>
      </c>
      <c r="AE337" s="31">
        <f>ROUND(U336*AE$5/1200,2)</f>
        <v>0.0</v>
      </c>
      <c r="AF337" s="31">
        <f>ROUND(V336*AF$5/1200,2)</f>
        <v>0.0</v>
      </c>
      <c r="AG337" s="31">
        <f>ROUND(W336*AG$5/1200,2)</f>
        <v>0.0</v>
      </c>
      <c r="AH337" s="31">
        <f>ROUND(X336*AH$5/1200,2)</f>
        <v>0.0</v>
      </c>
      <c r="AI337" s="31">
        <f>ROUND(Y336*AI$5/1200,2)</f>
        <v>0.0</v>
      </c>
      <c r="AJ337" s="31">
        <f>ROUND(Z336*AJ$5/1200,2)</f>
        <v>0.0</v>
      </c>
      <c r="AK337" s="31">
        <f>ROUND(AA336*AK$5/1200,2)</f>
        <v>0.0</v>
      </c>
      <c r="AL337" s="31">
        <f>MIN(AL$5,R336+AB337)</f>
        <v>0.0</v>
      </c>
      <c r="AM337" s="31">
        <f>MIN(AM$5,S336+AC337)</f>
        <v>0.0</v>
      </c>
      <c r="AN337" s="31">
        <f>MIN(AN$5,T336+AD337)</f>
        <v>0.0</v>
      </c>
      <c r="AO337" s="31">
        <f>MIN(AO$5,U336+AE337)</f>
        <v>0.0</v>
      </c>
      <c r="AP337" s="31">
        <f>MIN(AP$5,V336+AF337)</f>
        <v>0.0</v>
      </c>
      <c r="AQ337" s="31">
        <f>MIN(AQ$5,W336+AG337)</f>
        <v>0.0</v>
      </c>
      <c r="AR337" s="31">
        <f>MIN(AR$5,X336+AH337)</f>
        <v>0.0</v>
      </c>
      <c r="AS337" s="31">
        <f>MIN(AS$5,Y336+AI337)</f>
        <v>0.0</v>
      </c>
      <c r="AT337" s="31">
        <f>MIN(AT$5,Z336+AJ337)</f>
        <v>0.0</v>
      </c>
      <c r="AU337" s="31">
        <f>MIN(AU$5,AA336+AK337)</f>
        <v>0.0</v>
      </c>
    </row>
    <row r="338">
      <c r="A338" s="25" t="str">
        <f>IF(F337&gt;0.005,333,"")</f>
        <v/>
      </c>
      <c r="B338" s="33" t="str">
        <f>IF(A338="","",EDATE(Долги!$D$5,332))</f>
        <v/>
      </c>
      <c r="C338" s="31">
        <f>SUM(H338:Q338)</f>
        <v>0.0</v>
      </c>
      <c r="D338" s="31">
        <f>SUM(AB338:AK338)</f>
        <v>0.0</v>
      </c>
      <c r="E338" s="31">
        <f>C338-D338</f>
        <v>0.0</v>
      </c>
      <c r="F338" s="31">
        <f>SUM(R338:AA338)</f>
        <v>0.0</v>
      </c>
      <c r="G338" s="34" t="str">
        <f>IF(OR(A338="",$F$5&lt;=0),"",REPT("█",ROUND(20*F338/$F$5,0)))</f>
        <v/>
      </c>
      <c r="H338" s="31">
        <f>AL338+MIN(R337+AB338-AL338,MAX(0,ROUND(Долги!$D$19-SUM($AL338:$AU338),2)))</f>
        <v>0.0</v>
      </c>
      <c r="I338" s="31">
        <f>AM338+MIN(S337+AC338-AM338,MAX(0,ROUND(ROUND(Долги!$D$19-SUM($AL338:$AU338),2)-(SUM($H338:H338)-SUM($AL338:AL338)),2)))</f>
        <v>0.0</v>
      </c>
      <c r="J338" s="31">
        <f>AN338+MIN(T337+AD338-AN338,MAX(0,ROUND(ROUND(Долги!$D$19-SUM($AL338:$AU338),2)-(SUM($H338:I338)-SUM($AL338:AM338)),2)))</f>
        <v>0.0</v>
      </c>
      <c r="K338" s="31">
        <f>AO338+MIN(U337+AE338-AO338,MAX(0,ROUND(ROUND(Долги!$D$19-SUM($AL338:$AU338),2)-(SUM($H338:J338)-SUM($AL338:AN338)),2)))</f>
        <v>0.0</v>
      </c>
      <c r="L338" s="31">
        <f>AP338+MIN(V337+AF338-AP338,MAX(0,ROUND(ROUND(Долги!$D$19-SUM($AL338:$AU338),2)-(SUM($H338:K338)-SUM($AL338:AO338)),2)))</f>
        <v>0.0</v>
      </c>
      <c r="M338" s="31">
        <f>AQ338+MIN(W337+AG338-AQ338,MAX(0,ROUND(ROUND(Долги!$D$19-SUM($AL338:$AU338),2)-(SUM($H338:L338)-SUM($AL338:AP338)),2)))</f>
        <v>0.0</v>
      </c>
      <c r="N338" s="31">
        <f>AR338+MIN(X337+AH338-AR338,MAX(0,ROUND(ROUND(Долги!$D$19-SUM($AL338:$AU338),2)-(SUM($H338:M338)-SUM($AL338:AQ338)),2)))</f>
        <v>0.0</v>
      </c>
      <c r="O338" s="31">
        <f>AS338+MIN(Y337+AI338-AS338,MAX(0,ROUND(ROUND(Долги!$D$19-SUM($AL338:$AU338),2)-(SUM($H338:N338)-SUM($AL338:AR338)),2)))</f>
        <v>0.0</v>
      </c>
      <c r="P338" s="31">
        <f>AT338+MIN(Z337+AJ338-AT338,MAX(0,ROUND(ROUND(Долги!$D$19-SUM($AL338:$AU338),2)-(SUM($H338:O338)-SUM($AL338:AS338)),2)))</f>
        <v>0.0</v>
      </c>
      <c r="Q338" s="31">
        <f>AU338+MIN(AA337+AK338-AU338,MAX(0,ROUND(ROUND(Долги!$D$19-SUM($AL338:$AU338),2)-(SUM($H338:P338)-SUM($AL338:AT338)),2)))</f>
        <v>0.0</v>
      </c>
      <c r="R338" s="31">
        <f>IF(R337+AB338-H338&lt;=0.01,0,ROUND(R337+AB338-H338,2))</f>
        <v>0.0</v>
      </c>
      <c r="S338" s="31">
        <f>IF(S337+AC338-I338&lt;=0.01,0,ROUND(S337+AC338-I338,2))</f>
        <v>0.0</v>
      </c>
      <c r="T338" s="31">
        <f>IF(T337+AD338-J338&lt;=0.01,0,ROUND(T337+AD338-J338,2))</f>
        <v>0.0</v>
      </c>
      <c r="U338" s="31">
        <f>IF(U337+AE338-K338&lt;=0.01,0,ROUND(U337+AE338-K338,2))</f>
        <v>0.0</v>
      </c>
      <c r="V338" s="31">
        <f>IF(V337+AF338-L338&lt;=0.01,0,ROUND(V337+AF338-L338,2))</f>
        <v>0.0</v>
      </c>
      <c r="W338" s="31">
        <f>IF(W337+AG338-M338&lt;=0.01,0,ROUND(W337+AG338-M338,2))</f>
        <v>0.0</v>
      </c>
      <c r="X338" s="31">
        <f>IF(X337+AH338-N338&lt;=0.01,0,ROUND(X337+AH338-N338,2))</f>
        <v>0.0</v>
      </c>
      <c r="Y338" s="31">
        <f>IF(Y337+AI338-O338&lt;=0.01,0,ROUND(Y337+AI338-O338,2))</f>
        <v>0.0</v>
      </c>
      <c r="Z338" s="31">
        <f>IF(Z337+AJ338-P338&lt;=0.01,0,ROUND(Z337+AJ338-P338,2))</f>
        <v>0.0</v>
      </c>
      <c r="AA338" s="31">
        <f>IF(AA337+AK338-Q338&lt;=0.01,0,ROUND(AA337+AK338-Q338,2))</f>
        <v>0.0</v>
      </c>
      <c r="AB338" s="31">
        <f>ROUND(R337*AB$5/1200,2)</f>
        <v>0.0</v>
      </c>
      <c r="AC338" s="31">
        <f>ROUND(S337*AC$5/1200,2)</f>
        <v>0.0</v>
      </c>
      <c r="AD338" s="31">
        <f>ROUND(T337*AD$5/1200,2)</f>
        <v>0.0</v>
      </c>
      <c r="AE338" s="31">
        <f>ROUND(U337*AE$5/1200,2)</f>
        <v>0.0</v>
      </c>
      <c r="AF338" s="31">
        <f>ROUND(V337*AF$5/1200,2)</f>
        <v>0.0</v>
      </c>
      <c r="AG338" s="31">
        <f>ROUND(W337*AG$5/1200,2)</f>
        <v>0.0</v>
      </c>
      <c r="AH338" s="31">
        <f>ROUND(X337*AH$5/1200,2)</f>
        <v>0.0</v>
      </c>
      <c r="AI338" s="31">
        <f>ROUND(Y337*AI$5/1200,2)</f>
        <v>0.0</v>
      </c>
      <c r="AJ338" s="31">
        <f>ROUND(Z337*AJ$5/1200,2)</f>
        <v>0.0</v>
      </c>
      <c r="AK338" s="31">
        <f>ROUND(AA337*AK$5/1200,2)</f>
        <v>0.0</v>
      </c>
      <c r="AL338" s="31">
        <f>MIN(AL$5,R337+AB338)</f>
        <v>0.0</v>
      </c>
      <c r="AM338" s="31">
        <f>MIN(AM$5,S337+AC338)</f>
        <v>0.0</v>
      </c>
      <c r="AN338" s="31">
        <f>MIN(AN$5,T337+AD338)</f>
        <v>0.0</v>
      </c>
      <c r="AO338" s="31">
        <f>MIN(AO$5,U337+AE338)</f>
        <v>0.0</v>
      </c>
      <c r="AP338" s="31">
        <f>MIN(AP$5,V337+AF338)</f>
        <v>0.0</v>
      </c>
      <c r="AQ338" s="31">
        <f>MIN(AQ$5,W337+AG338)</f>
        <v>0.0</v>
      </c>
      <c r="AR338" s="31">
        <f>MIN(AR$5,X337+AH338)</f>
        <v>0.0</v>
      </c>
      <c r="AS338" s="31">
        <f>MIN(AS$5,Y337+AI338)</f>
        <v>0.0</v>
      </c>
      <c r="AT338" s="31">
        <f>MIN(AT$5,Z337+AJ338)</f>
        <v>0.0</v>
      </c>
      <c r="AU338" s="31">
        <f>MIN(AU$5,AA337+AK338)</f>
        <v>0.0</v>
      </c>
    </row>
    <row r="339">
      <c r="A339" s="25" t="str">
        <f>IF(F338&gt;0.005,334,"")</f>
        <v/>
      </c>
      <c r="B339" s="33" t="str">
        <f>IF(A339="","",EDATE(Долги!$D$5,333))</f>
        <v/>
      </c>
      <c r="C339" s="31">
        <f>SUM(H339:Q339)</f>
        <v>0.0</v>
      </c>
      <c r="D339" s="31">
        <f>SUM(AB339:AK339)</f>
        <v>0.0</v>
      </c>
      <c r="E339" s="31">
        <f>C339-D339</f>
        <v>0.0</v>
      </c>
      <c r="F339" s="31">
        <f>SUM(R339:AA339)</f>
        <v>0.0</v>
      </c>
      <c r="G339" s="34" t="str">
        <f>IF(OR(A339="",$F$5&lt;=0),"",REPT("█",ROUND(20*F339/$F$5,0)))</f>
        <v/>
      </c>
      <c r="H339" s="31">
        <f>AL339+MIN(R338+AB339-AL339,MAX(0,ROUND(Долги!$D$19-SUM($AL339:$AU339),2)))</f>
        <v>0.0</v>
      </c>
      <c r="I339" s="31">
        <f>AM339+MIN(S338+AC339-AM339,MAX(0,ROUND(ROUND(Долги!$D$19-SUM($AL339:$AU339),2)-(SUM($H339:H339)-SUM($AL339:AL339)),2)))</f>
        <v>0.0</v>
      </c>
      <c r="J339" s="31">
        <f>AN339+MIN(T338+AD339-AN339,MAX(0,ROUND(ROUND(Долги!$D$19-SUM($AL339:$AU339),2)-(SUM($H339:I339)-SUM($AL339:AM339)),2)))</f>
        <v>0.0</v>
      </c>
      <c r="K339" s="31">
        <f>AO339+MIN(U338+AE339-AO339,MAX(0,ROUND(ROUND(Долги!$D$19-SUM($AL339:$AU339),2)-(SUM($H339:J339)-SUM($AL339:AN339)),2)))</f>
        <v>0.0</v>
      </c>
      <c r="L339" s="31">
        <f>AP339+MIN(V338+AF339-AP339,MAX(0,ROUND(ROUND(Долги!$D$19-SUM($AL339:$AU339),2)-(SUM($H339:K339)-SUM($AL339:AO339)),2)))</f>
        <v>0.0</v>
      </c>
      <c r="M339" s="31">
        <f>AQ339+MIN(W338+AG339-AQ339,MAX(0,ROUND(ROUND(Долги!$D$19-SUM($AL339:$AU339),2)-(SUM($H339:L339)-SUM($AL339:AP339)),2)))</f>
        <v>0.0</v>
      </c>
      <c r="N339" s="31">
        <f>AR339+MIN(X338+AH339-AR339,MAX(0,ROUND(ROUND(Долги!$D$19-SUM($AL339:$AU339),2)-(SUM($H339:M339)-SUM($AL339:AQ339)),2)))</f>
        <v>0.0</v>
      </c>
      <c r="O339" s="31">
        <f>AS339+MIN(Y338+AI339-AS339,MAX(0,ROUND(ROUND(Долги!$D$19-SUM($AL339:$AU339),2)-(SUM($H339:N339)-SUM($AL339:AR339)),2)))</f>
        <v>0.0</v>
      </c>
      <c r="P339" s="31">
        <f>AT339+MIN(Z338+AJ339-AT339,MAX(0,ROUND(ROUND(Долги!$D$19-SUM($AL339:$AU339),2)-(SUM($H339:O339)-SUM($AL339:AS339)),2)))</f>
        <v>0.0</v>
      </c>
      <c r="Q339" s="31">
        <f>AU339+MIN(AA338+AK339-AU339,MAX(0,ROUND(ROUND(Долги!$D$19-SUM($AL339:$AU339),2)-(SUM($H339:P339)-SUM($AL339:AT339)),2)))</f>
        <v>0.0</v>
      </c>
      <c r="R339" s="31">
        <f>IF(R338+AB339-H339&lt;=0.01,0,ROUND(R338+AB339-H339,2))</f>
        <v>0.0</v>
      </c>
      <c r="S339" s="31">
        <f>IF(S338+AC339-I339&lt;=0.01,0,ROUND(S338+AC339-I339,2))</f>
        <v>0.0</v>
      </c>
      <c r="T339" s="31">
        <f>IF(T338+AD339-J339&lt;=0.01,0,ROUND(T338+AD339-J339,2))</f>
        <v>0.0</v>
      </c>
      <c r="U339" s="31">
        <f>IF(U338+AE339-K339&lt;=0.01,0,ROUND(U338+AE339-K339,2))</f>
        <v>0.0</v>
      </c>
      <c r="V339" s="31">
        <f>IF(V338+AF339-L339&lt;=0.01,0,ROUND(V338+AF339-L339,2))</f>
        <v>0.0</v>
      </c>
      <c r="W339" s="31">
        <f>IF(W338+AG339-M339&lt;=0.01,0,ROUND(W338+AG339-M339,2))</f>
        <v>0.0</v>
      </c>
      <c r="X339" s="31">
        <f>IF(X338+AH339-N339&lt;=0.01,0,ROUND(X338+AH339-N339,2))</f>
        <v>0.0</v>
      </c>
      <c r="Y339" s="31">
        <f>IF(Y338+AI339-O339&lt;=0.01,0,ROUND(Y338+AI339-O339,2))</f>
        <v>0.0</v>
      </c>
      <c r="Z339" s="31">
        <f>IF(Z338+AJ339-P339&lt;=0.01,0,ROUND(Z338+AJ339-P339,2))</f>
        <v>0.0</v>
      </c>
      <c r="AA339" s="31">
        <f>IF(AA338+AK339-Q339&lt;=0.01,0,ROUND(AA338+AK339-Q339,2))</f>
        <v>0.0</v>
      </c>
      <c r="AB339" s="31">
        <f>ROUND(R338*AB$5/1200,2)</f>
        <v>0.0</v>
      </c>
      <c r="AC339" s="31">
        <f>ROUND(S338*AC$5/1200,2)</f>
        <v>0.0</v>
      </c>
      <c r="AD339" s="31">
        <f>ROUND(T338*AD$5/1200,2)</f>
        <v>0.0</v>
      </c>
      <c r="AE339" s="31">
        <f>ROUND(U338*AE$5/1200,2)</f>
        <v>0.0</v>
      </c>
      <c r="AF339" s="31">
        <f>ROUND(V338*AF$5/1200,2)</f>
        <v>0.0</v>
      </c>
      <c r="AG339" s="31">
        <f>ROUND(W338*AG$5/1200,2)</f>
        <v>0.0</v>
      </c>
      <c r="AH339" s="31">
        <f>ROUND(X338*AH$5/1200,2)</f>
        <v>0.0</v>
      </c>
      <c r="AI339" s="31">
        <f>ROUND(Y338*AI$5/1200,2)</f>
        <v>0.0</v>
      </c>
      <c r="AJ339" s="31">
        <f>ROUND(Z338*AJ$5/1200,2)</f>
        <v>0.0</v>
      </c>
      <c r="AK339" s="31">
        <f>ROUND(AA338*AK$5/1200,2)</f>
        <v>0.0</v>
      </c>
      <c r="AL339" s="31">
        <f>MIN(AL$5,R338+AB339)</f>
        <v>0.0</v>
      </c>
      <c r="AM339" s="31">
        <f>MIN(AM$5,S338+AC339)</f>
        <v>0.0</v>
      </c>
      <c r="AN339" s="31">
        <f>MIN(AN$5,T338+AD339)</f>
        <v>0.0</v>
      </c>
      <c r="AO339" s="31">
        <f>MIN(AO$5,U338+AE339)</f>
        <v>0.0</v>
      </c>
      <c r="AP339" s="31">
        <f>MIN(AP$5,V338+AF339)</f>
        <v>0.0</v>
      </c>
      <c r="AQ339" s="31">
        <f>MIN(AQ$5,W338+AG339)</f>
        <v>0.0</v>
      </c>
      <c r="AR339" s="31">
        <f>MIN(AR$5,X338+AH339)</f>
        <v>0.0</v>
      </c>
      <c r="AS339" s="31">
        <f>MIN(AS$5,Y338+AI339)</f>
        <v>0.0</v>
      </c>
      <c r="AT339" s="31">
        <f>MIN(AT$5,Z338+AJ339)</f>
        <v>0.0</v>
      </c>
      <c r="AU339" s="31">
        <f>MIN(AU$5,AA338+AK339)</f>
        <v>0.0</v>
      </c>
    </row>
    <row r="340">
      <c r="A340" s="25" t="str">
        <f>IF(F339&gt;0.005,335,"")</f>
        <v/>
      </c>
      <c r="B340" s="33" t="str">
        <f>IF(A340="","",EDATE(Долги!$D$5,334))</f>
        <v/>
      </c>
      <c r="C340" s="31">
        <f>SUM(H340:Q340)</f>
        <v>0.0</v>
      </c>
      <c r="D340" s="31">
        <f>SUM(AB340:AK340)</f>
        <v>0.0</v>
      </c>
      <c r="E340" s="31">
        <f>C340-D340</f>
        <v>0.0</v>
      </c>
      <c r="F340" s="31">
        <f>SUM(R340:AA340)</f>
        <v>0.0</v>
      </c>
      <c r="G340" s="34" t="str">
        <f>IF(OR(A340="",$F$5&lt;=0),"",REPT("█",ROUND(20*F340/$F$5,0)))</f>
        <v/>
      </c>
      <c r="H340" s="31">
        <f>AL340+MIN(R339+AB340-AL340,MAX(0,ROUND(Долги!$D$19-SUM($AL340:$AU340),2)))</f>
        <v>0.0</v>
      </c>
      <c r="I340" s="31">
        <f>AM340+MIN(S339+AC340-AM340,MAX(0,ROUND(ROUND(Долги!$D$19-SUM($AL340:$AU340),2)-(SUM($H340:H340)-SUM($AL340:AL340)),2)))</f>
        <v>0.0</v>
      </c>
      <c r="J340" s="31">
        <f>AN340+MIN(T339+AD340-AN340,MAX(0,ROUND(ROUND(Долги!$D$19-SUM($AL340:$AU340),2)-(SUM($H340:I340)-SUM($AL340:AM340)),2)))</f>
        <v>0.0</v>
      </c>
      <c r="K340" s="31">
        <f>AO340+MIN(U339+AE340-AO340,MAX(0,ROUND(ROUND(Долги!$D$19-SUM($AL340:$AU340),2)-(SUM($H340:J340)-SUM($AL340:AN340)),2)))</f>
        <v>0.0</v>
      </c>
      <c r="L340" s="31">
        <f>AP340+MIN(V339+AF340-AP340,MAX(0,ROUND(ROUND(Долги!$D$19-SUM($AL340:$AU340),2)-(SUM($H340:K340)-SUM($AL340:AO340)),2)))</f>
        <v>0.0</v>
      </c>
      <c r="M340" s="31">
        <f>AQ340+MIN(W339+AG340-AQ340,MAX(0,ROUND(ROUND(Долги!$D$19-SUM($AL340:$AU340),2)-(SUM($H340:L340)-SUM($AL340:AP340)),2)))</f>
        <v>0.0</v>
      </c>
      <c r="N340" s="31">
        <f>AR340+MIN(X339+AH340-AR340,MAX(0,ROUND(ROUND(Долги!$D$19-SUM($AL340:$AU340),2)-(SUM($H340:M340)-SUM($AL340:AQ340)),2)))</f>
        <v>0.0</v>
      </c>
      <c r="O340" s="31">
        <f>AS340+MIN(Y339+AI340-AS340,MAX(0,ROUND(ROUND(Долги!$D$19-SUM($AL340:$AU340),2)-(SUM($H340:N340)-SUM($AL340:AR340)),2)))</f>
        <v>0.0</v>
      </c>
      <c r="P340" s="31">
        <f>AT340+MIN(Z339+AJ340-AT340,MAX(0,ROUND(ROUND(Долги!$D$19-SUM($AL340:$AU340),2)-(SUM($H340:O340)-SUM($AL340:AS340)),2)))</f>
        <v>0.0</v>
      </c>
      <c r="Q340" s="31">
        <f>AU340+MIN(AA339+AK340-AU340,MAX(0,ROUND(ROUND(Долги!$D$19-SUM($AL340:$AU340),2)-(SUM($H340:P340)-SUM($AL340:AT340)),2)))</f>
        <v>0.0</v>
      </c>
      <c r="R340" s="31">
        <f>IF(R339+AB340-H340&lt;=0.01,0,ROUND(R339+AB340-H340,2))</f>
        <v>0.0</v>
      </c>
      <c r="S340" s="31">
        <f>IF(S339+AC340-I340&lt;=0.01,0,ROUND(S339+AC340-I340,2))</f>
        <v>0.0</v>
      </c>
      <c r="T340" s="31">
        <f>IF(T339+AD340-J340&lt;=0.01,0,ROUND(T339+AD340-J340,2))</f>
        <v>0.0</v>
      </c>
      <c r="U340" s="31">
        <f>IF(U339+AE340-K340&lt;=0.01,0,ROUND(U339+AE340-K340,2))</f>
        <v>0.0</v>
      </c>
      <c r="V340" s="31">
        <f>IF(V339+AF340-L340&lt;=0.01,0,ROUND(V339+AF340-L340,2))</f>
        <v>0.0</v>
      </c>
      <c r="W340" s="31">
        <f>IF(W339+AG340-M340&lt;=0.01,0,ROUND(W339+AG340-M340,2))</f>
        <v>0.0</v>
      </c>
      <c r="X340" s="31">
        <f>IF(X339+AH340-N340&lt;=0.01,0,ROUND(X339+AH340-N340,2))</f>
        <v>0.0</v>
      </c>
      <c r="Y340" s="31">
        <f>IF(Y339+AI340-O340&lt;=0.01,0,ROUND(Y339+AI340-O340,2))</f>
        <v>0.0</v>
      </c>
      <c r="Z340" s="31">
        <f>IF(Z339+AJ340-P340&lt;=0.01,0,ROUND(Z339+AJ340-P340,2))</f>
        <v>0.0</v>
      </c>
      <c r="AA340" s="31">
        <f>IF(AA339+AK340-Q340&lt;=0.01,0,ROUND(AA339+AK340-Q340,2))</f>
        <v>0.0</v>
      </c>
      <c r="AB340" s="31">
        <f>ROUND(R339*AB$5/1200,2)</f>
        <v>0.0</v>
      </c>
      <c r="AC340" s="31">
        <f>ROUND(S339*AC$5/1200,2)</f>
        <v>0.0</v>
      </c>
      <c r="AD340" s="31">
        <f>ROUND(T339*AD$5/1200,2)</f>
        <v>0.0</v>
      </c>
      <c r="AE340" s="31">
        <f>ROUND(U339*AE$5/1200,2)</f>
        <v>0.0</v>
      </c>
      <c r="AF340" s="31">
        <f>ROUND(V339*AF$5/1200,2)</f>
        <v>0.0</v>
      </c>
      <c r="AG340" s="31">
        <f>ROUND(W339*AG$5/1200,2)</f>
        <v>0.0</v>
      </c>
      <c r="AH340" s="31">
        <f>ROUND(X339*AH$5/1200,2)</f>
        <v>0.0</v>
      </c>
      <c r="AI340" s="31">
        <f>ROUND(Y339*AI$5/1200,2)</f>
        <v>0.0</v>
      </c>
      <c r="AJ340" s="31">
        <f>ROUND(Z339*AJ$5/1200,2)</f>
        <v>0.0</v>
      </c>
      <c r="AK340" s="31">
        <f>ROUND(AA339*AK$5/1200,2)</f>
        <v>0.0</v>
      </c>
      <c r="AL340" s="31">
        <f>MIN(AL$5,R339+AB340)</f>
        <v>0.0</v>
      </c>
      <c r="AM340" s="31">
        <f>MIN(AM$5,S339+AC340)</f>
        <v>0.0</v>
      </c>
      <c r="AN340" s="31">
        <f>MIN(AN$5,T339+AD340)</f>
        <v>0.0</v>
      </c>
      <c r="AO340" s="31">
        <f>MIN(AO$5,U339+AE340)</f>
        <v>0.0</v>
      </c>
      <c r="AP340" s="31">
        <f>MIN(AP$5,V339+AF340)</f>
        <v>0.0</v>
      </c>
      <c r="AQ340" s="31">
        <f>MIN(AQ$5,W339+AG340)</f>
        <v>0.0</v>
      </c>
      <c r="AR340" s="31">
        <f>MIN(AR$5,X339+AH340)</f>
        <v>0.0</v>
      </c>
      <c r="AS340" s="31">
        <f>MIN(AS$5,Y339+AI340)</f>
        <v>0.0</v>
      </c>
      <c r="AT340" s="31">
        <f>MIN(AT$5,Z339+AJ340)</f>
        <v>0.0</v>
      </c>
      <c r="AU340" s="31">
        <f>MIN(AU$5,AA339+AK340)</f>
        <v>0.0</v>
      </c>
    </row>
    <row r="341">
      <c r="A341" s="25" t="str">
        <f>IF(F340&gt;0.005,336,"")</f>
        <v/>
      </c>
      <c r="B341" s="33" t="str">
        <f>IF(A341="","",EDATE(Долги!$D$5,335))</f>
        <v/>
      </c>
      <c r="C341" s="31">
        <f>SUM(H341:Q341)</f>
        <v>0.0</v>
      </c>
      <c r="D341" s="31">
        <f>SUM(AB341:AK341)</f>
        <v>0.0</v>
      </c>
      <c r="E341" s="31">
        <f>C341-D341</f>
        <v>0.0</v>
      </c>
      <c r="F341" s="31">
        <f>SUM(R341:AA341)</f>
        <v>0.0</v>
      </c>
      <c r="G341" s="34" t="str">
        <f>IF(OR(A341="",$F$5&lt;=0),"",REPT("█",ROUND(20*F341/$F$5,0)))</f>
        <v/>
      </c>
      <c r="H341" s="31">
        <f>AL341+MIN(R340+AB341-AL341,MAX(0,ROUND(Долги!$D$19-SUM($AL341:$AU341),2)))</f>
        <v>0.0</v>
      </c>
      <c r="I341" s="31">
        <f>AM341+MIN(S340+AC341-AM341,MAX(0,ROUND(ROUND(Долги!$D$19-SUM($AL341:$AU341),2)-(SUM($H341:H341)-SUM($AL341:AL341)),2)))</f>
        <v>0.0</v>
      </c>
      <c r="J341" s="31">
        <f>AN341+MIN(T340+AD341-AN341,MAX(0,ROUND(ROUND(Долги!$D$19-SUM($AL341:$AU341),2)-(SUM($H341:I341)-SUM($AL341:AM341)),2)))</f>
        <v>0.0</v>
      </c>
      <c r="K341" s="31">
        <f>AO341+MIN(U340+AE341-AO341,MAX(0,ROUND(ROUND(Долги!$D$19-SUM($AL341:$AU341),2)-(SUM($H341:J341)-SUM($AL341:AN341)),2)))</f>
        <v>0.0</v>
      </c>
      <c r="L341" s="31">
        <f>AP341+MIN(V340+AF341-AP341,MAX(0,ROUND(ROUND(Долги!$D$19-SUM($AL341:$AU341),2)-(SUM($H341:K341)-SUM($AL341:AO341)),2)))</f>
        <v>0.0</v>
      </c>
      <c r="M341" s="31">
        <f>AQ341+MIN(W340+AG341-AQ341,MAX(0,ROUND(ROUND(Долги!$D$19-SUM($AL341:$AU341),2)-(SUM($H341:L341)-SUM($AL341:AP341)),2)))</f>
        <v>0.0</v>
      </c>
      <c r="N341" s="31">
        <f>AR341+MIN(X340+AH341-AR341,MAX(0,ROUND(ROUND(Долги!$D$19-SUM($AL341:$AU341),2)-(SUM($H341:M341)-SUM($AL341:AQ341)),2)))</f>
        <v>0.0</v>
      </c>
      <c r="O341" s="31">
        <f>AS341+MIN(Y340+AI341-AS341,MAX(0,ROUND(ROUND(Долги!$D$19-SUM($AL341:$AU341),2)-(SUM($H341:N341)-SUM($AL341:AR341)),2)))</f>
        <v>0.0</v>
      </c>
      <c r="P341" s="31">
        <f>AT341+MIN(Z340+AJ341-AT341,MAX(0,ROUND(ROUND(Долги!$D$19-SUM($AL341:$AU341),2)-(SUM($H341:O341)-SUM($AL341:AS341)),2)))</f>
        <v>0.0</v>
      </c>
      <c r="Q341" s="31">
        <f>AU341+MIN(AA340+AK341-AU341,MAX(0,ROUND(ROUND(Долги!$D$19-SUM($AL341:$AU341),2)-(SUM($H341:P341)-SUM($AL341:AT341)),2)))</f>
        <v>0.0</v>
      </c>
      <c r="R341" s="31">
        <f>IF(R340+AB341-H341&lt;=0.01,0,ROUND(R340+AB341-H341,2))</f>
        <v>0.0</v>
      </c>
      <c r="S341" s="31">
        <f>IF(S340+AC341-I341&lt;=0.01,0,ROUND(S340+AC341-I341,2))</f>
        <v>0.0</v>
      </c>
      <c r="T341" s="31">
        <f>IF(T340+AD341-J341&lt;=0.01,0,ROUND(T340+AD341-J341,2))</f>
        <v>0.0</v>
      </c>
      <c r="U341" s="31">
        <f>IF(U340+AE341-K341&lt;=0.01,0,ROUND(U340+AE341-K341,2))</f>
        <v>0.0</v>
      </c>
      <c r="V341" s="31">
        <f>IF(V340+AF341-L341&lt;=0.01,0,ROUND(V340+AF341-L341,2))</f>
        <v>0.0</v>
      </c>
      <c r="W341" s="31">
        <f>IF(W340+AG341-M341&lt;=0.01,0,ROUND(W340+AG341-M341,2))</f>
        <v>0.0</v>
      </c>
      <c r="X341" s="31">
        <f>IF(X340+AH341-N341&lt;=0.01,0,ROUND(X340+AH341-N341,2))</f>
        <v>0.0</v>
      </c>
      <c r="Y341" s="31">
        <f>IF(Y340+AI341-O341&lt;=0.01,0,ROUND(Y340+AI341-O341,2))</f>
        <v>0.0</v>
      </c>
      <c r="Z341" s="31">
        <f>IF(Z340+AJ341-P341&lt;=0.01,0,ROUND(Z340+AJ341-P341,2))</f>
        <v>0.0</v>
      </c>
      <c r="AA341" s="31">
        <f>IF(AA340+AK341-Q341&lt;=0.01,0,ROUND(AA340+AK341-Q341,2))</f>
        <v>0.0</v>
      </c>
      <c r="AB341" s="31">
        <f>ROUND(R340*AB$5/1200,2)</f>
        <v>0.0</v>
      </c>
      <c r="AC341" s="31">
        <f>ROUND(S340*AC$5/1200,2)</f>
        <v>0.0</v>
      </c>
      <c r="AD341" s="31">
        <f>ROUND(T340*AD$5/1200,2)</f>
        <v>0.0</v>
      </c>
      <c r="AE341" s="31">
        <f>ROUND(U340*AE$5/1200,2)</f>
        <v>0.0</v>
      </c>
      <c r="AF341" s="31">
        <f>ROUND(V340*AF$5/1200,2)</f>
        <v>0.0</v>
      </c>
      <c r="AG341" s="31">
        <f>ROUND(W340*AG$5/1200,2)</f>
        <v>0.0</v>
      </c>
      <c r="AH341" s="31">
        <f>ROUND(X340*AH$5/1200,2)</f>
        <v>0.0</v>
      </c>
      <c r="AI341" s="31">
        <f>ROUND(Y340*AI$5/1200,2)</f>
        <v>0.0</v>
      </c>
      <c r="AJ341" s="31">
        <f>ROUND(Z340*AJ$5/1200,2)</f>
        <v>0.0</v>
      </c>
      <c r="AK341" s="31">
        <f>ROUND(AA340*AK$5/1200,2)</f>
        <v>0.0</v>
      </c>
      <c r="AL341" s="31">
        <f>MIN(AL$5,R340+AB341)</f>
        <v>0.0</v>
      </c>
      <c r="AM341" s="31">
        <f>MIN(AM$5,S340+AC341)</f>
        <v>0.0</v>
      </c>
      <c r="AN341" s="31">
        <f>MIN(AN$5,T340+AD341)</f>
        <v>0.0</v>
      </c>
      <c r="AO341" s="31">
        <f>MIN(AO$5,U340+AE341)</f>
        <v>0.0</v>
      </c>
      <c r="AP341" s="31">
        <f>MIN(AP$5,V340+AF341)</f>
        <v>0.0</v>
      </c>
      <c r="AQ341" s="31">
        <f>MIN(AQ$5,W340+AG341)</f>
        <v>0.0</v>
      </c>
      <c r="AR341" s="31">
        <f>MIN(AR$5,X340+AH341)</f>
        <v>0.0</v>
      </c>
      <c r="AS341" s="31">
        <f>MIN(AS$5,Y340+AI341)</f>
        <v>0.0</v>
      </c>
      <c r="AT341" s="31">
        <f>MIN(AT$5,Z340+AJ341)</f>
        <v>0.0</v>
      </c>
      <c r="AU341" s="31">
        <f>MIN(AU$5,AA340+AK341)</f>
        <v>0.0</v>
      </c>
    </row>
    <row r="342">
      <c r="A342" s="25" t="str">
        <f>IF(F341&gt;0.005,337,"")</f>
        <v/>
      </c>
      <c r="B342" s="33" t="str">
        <f>IF(A342="","",EDATE(Долги!$D$5,336))</f>
        <v/>
      </c>
      <c r="C342" s="31">
        <f>SUM(H342:Q342)</f>
        <v>0.0</v>
      </c>
      <c r="D342" s="31">
        <f>SUM(AB342:AK342)</f>
        <v>0.0</v>
      </c>
      <c r="E342" s="31">
        <f>C342-D342</f>
        <v>0.0</v>
      </c>
      <c r="F342" s="31">
        <f>SUM(R342:AA342)</f>
        <v>0.0</v>
      </c>
      <c r="G342" s="34" t="str">
        <f>IF(OR(A342="",$F$5&lt;=0),"",REPT("█",ROUND(20*F342/$F$5,0)))</f>
        <v/>
      </c>
      <c r="H342" s="31">
        <f>AL342+MIN(R341+AB342-AL342,MAX(0,ROUND(Долги!$D$19-SUM($AL342:$AU342),2)))</f>
        <v>0.0</v>
      </c>
      <c r="I342" s="31">
        <f>AM342+MIN(S341+AC342-AM342,MAX(0,ROUND(ROUND(Долги!$D$19-SUM($AL342:$AU342),2)-(SUM($H342:H342)-SUM($AL342:AL342)),2)))</f>
        <v>0.0</v>
      </c>
      <c r="J342" s="31">
        <f>AN342+MIN(T341+AD342-AN342,MAX(0,ROUND(ROUND(Долги!$D$19-SUM($AL342:$AU342),2)-(SUM($H342:I342)-SUM($AL342:AM342)),2)))</f>
        <v>0.0</v>
      </c>
      <c r="K342" s="31">
        <f>AO342+MIN(U341+AE342-AO342,MAX(0,ROUND(ROUND(Долги!$D$19-SUM($AL342:$AU342),2)-(SUM($H342:J342)-SUM($AL342:AN342)),2)))</f>
        <v>0.0</v>
      </c>
      <c r="L342" s="31">
        <f>AP342+MIN(V341+AF342-AP342,MAX(0,ROUND(ROUND(Долги!$D$19-SUM($AL342:$AU342),2)-(SUM($H342:K342)-SUM($AL342:AO342)),2)))</f>
        <v>0.0</v>
      </c>
      <c r="M342" s="31">
        <f>AQ342+MIN(W341+AG342-AQ342,MAX(0,ROUND(ROUND(Долги!$D$19-SUM($AL342:$AU342),2)-(SUM($H342:L342)-SUM($AL342:AP342)),2)))</f>
        <v>0.0</v>
      </c>
      <c r="N342" s="31">
        <f>AR342+MIN(X341+AH342-AR342,MAX(0,ROUND(ROUND(Долги!$D$19-SUM($AL342:$AU342),2)-(SUM($H342:M342)-SUM($AL342:AQ342)),2)))</f>
        <v>0.0</v>
      </c>
      <c r="O342" s="31">
        <f>AS342+MIN(Y341+AI342-AS342,MAX(0,ROUND(ROUND(Долги!$D$19-SUM($AL342:$AU342),2)-(SUM($H342:N342)-SUM($AL342:AR342)),2)))</f>
        <v>0.0</v>
      </c>
      <c r="P342" s="31">
        <f>AT342+MIN(Z341+AJ342-AT342,MAX(0,ROUND(ROUND(Долги!$D$19-SUM($AL342:$AU342),2)-(SUM($H342:O342)-SUM($AL342:AS342)),2)))</f>
        <v>0.0</v>
      </c>
      <c r="Q342" s="31">
        <f>AU342+MIN(AA341+AK342-AU342,MAX(0,ROUND(ROUND(Долги!$D$19-SUM($AL342:$AU342),2)-(SUM($H342:P342)-SUM($AL342:AT342)),2)))</f>
        <v>0.0</v>
      </c>
      <c r="R342" s="31">
        <f>IF(R341+AB342-H342&lt;=0.01,0,ROUND(R341+AB342-H342,2))</f>
        <v>0.0</v>
      </c>
      <c r="S342" s="31">
        <f>IF(S341+AC342-I342&lt;=0.01,0,ROUND(S341+AC342-I342,2))</f>
        <v>0.0</v>
      </c>
      <c r="T342" s="31">
        <f>IF(T341+AD342-J342&lt;=0.01,0,ROUND(T341+AD342-J342,2))</f>
        <v>0.0</v>
      </c>
      <c r="U342" s="31">
        <f>IF(U341+AE342-K342&lt;=0.01,0,ROUND(U341+AE342-K342,2))</f>
        <v>0.0</v>
      </c>
      <c r="V342" s="31">
        <f>IF(V341+AF342-L342&lt;=0.01,0,ROUND(V341+AF342-L342,2))</f>
        <v>0.0</v>
      </c>
      <c r="W342" s="31">
        <f>IF(W341+AG342-M342&lt;=0.01,0,ROUND(W341+AG342-M342,2))</f>
        <v>0.0</v>
      </c>
      <c r="X342" s="31">
        <f>IF(X341+AH342-N342&lt;=0.01,0,ROUND(X341+AH342-N342,2))</f>
        <v>0.0</v>
      </c>
      <c r="Y342" s="31">
        <f>IF(Y341+AI342-O342&lt;=0.01,0,ROUND(Y341+AI342-O342,2))</f>
        <v>0.0</v>
      </c>
      <c r="Z342" s="31">
        <f>IF(Z341+AJ342-P342&lt;=0.01,0,ROUND(Z341+AJ342-P342,2))</f>
        <v>0.0</v>
      </c>
      <c r="AA342" s="31">
        <f>IF(AA341+AK342-Q342&lt;=0.01,0,ROUND(AA341+AK342-Q342,2))</f>
        <v>0.0</v>
      </c>
      <c r="AB342" s="31">
        <f>ROUND(R341*AB$5/1200,2)</f>
        <v>0.0</v>
      </c>
      <c r="AC342" s="31">
        <f>ROUND(S341*AC$5/1200,2)</f>
        <v>0.0</v>
      </c>
      <c r="AD342" s="31">
        <f>ROUND(T341*AD$5/1200,2)</f>
        <v>0.0</v>
      </c>
      <c r="AE342" s="31">
        <f>ROUND(U341*AE$5/1200,2)</f>
        <v>0.0</v>
      </c>
      <c r="AF342" s="31">
        <f>ROUND(V341*AF$5/1200,2)</f>
        <v>0.0</v>
      </c>
      <c r="AG342" s="31">
        <f>ROUND(W341*AG$5/1200,2)</f>
        <v>0.0</v>
      </c>
      <c r="AH342" s="31">
        <f>ROUND(X341*AH$5/1200,2)</f>
        <v>0.0</v>
      </c>
      <c r="AI342" s="31">
        <f>ROUND(Y341*AI$5/1200,2)</f>
        <v>0.0</v>
      </c>
      <c r="AJ342" s="31">
        <f>ROUND(Z341*AJ$5/1200,2)</f>
        <v>0.0</v>
      </c>
      <c r="AK342" s="31">
        <f>ROUND(AA341*AK$5/1200,2)</f>
        <v>0.0</v>
      </c>
      <c r="AL342" s="31">
        <f>MIN(AL$5,R341+AB342)</f>
        <v>0.0</v>
      </c>
      <c r="AM342" s="31">
        <f>MIN(AM$5,S341+AC342)</f>
        <v>0.0</v>
      </c>
      <c r="AN342" s="31">
        <f>MIN(AN$5,T341+AD342)</f>
        <v>0.0</v>
      </c>
      <c r="AO342" s="31">
        <f>MIN(AO$5,U341+AE342)</f>
        <v>0.0</v>
      </c>
      <c r="AP342" s="31">
        <f>MIN(AP$5,V341+AF342)</f>
        <v>0.0</v>
      </c>
      <c r="AQ342" s="31">
        <f>MIN(AQ$5,W341+AG342)</f>
        <v>0.0</v>
      </c>
      <c r="AR342" s="31">
        <f>MIN(AR$5,X341+AH342)</f>
        <v>0.0</v>
      </c>
      <c r="AS342" s="31">
        <f>MIN(AS$5,Y341+AI342)</f>
        <v>0.0</v>
      </c>
      <c r="AT342" s="31">
        <f>MIN(AT$5,Z341+AJ342)</f>
        <v>0.0</v>
      </c>
      <c r="AU342" s="31">
        <f>MIN(AU$5,AA341+AK342)</f>
        <v>0.0</v>
      </c>
    </row>
    <row r="343">
      <c r="A343" s="25" t="str">
        <f>IF(F342&gt;0.005,338,"")</f>
        <v/>
      </c>
      <c r="B343" s="33" t="str">
        <f>IF(A343="","",EDATE(Долги!$D$5,337))</f>
        <v/>
      </c>
      <c r="C343" s="31">
        <f>SUM(H343:Q343)</f>
        <v>0.0</v>
      </c>
      <c r="D343" s="31">
        <f>SUM(AB343:AK343)</f>
        <v>0.0</v>
      </c>
      <c r="E343" s="31">
        <f>C343-D343</f>
        <v>0.0</v>
      </c>
      <c r="F343" s="31">
        <f>SUM(R343:AA343)</f>
        <v>0.0</v>
      </c>
      <c r="G343" s="34" t="str">
        <f>IF(OR(A343="",$F$5&lt;=0),"",REPT("█",ROUND(20*F343/$F$5,0)))</f>
        <v/>
      </c>
      <c r="H343" s="31">
        <f>AL343+MIN(R342+AB343-AL343,MAX(0,ROUND(Долги!$D$19-SUM($AL343:$AU343),2)))</f>
        <v>0.0</v>
      </c>
      <c r="I343" s="31">
        <f>AM343+MIN(S342+AC343-AM343,MAX(0,ROUND(ROUND(Долги!$D$19-SUM($AL343:$AU343),2)-(SUM($H343:H343)-SUM($AL343:AL343)),2)))</f>
        <v>0.0</v>
      </c>
      <c r="J343" s="31">
        <f>AN343+MIN(T342+AD343-AN343,MAX(0,ROUND(ROUND(Долги!$D$19-SUM($AL343:$AU343),2)-(SUM($H343:I343)-SUM($AL343:AM343)),2)))</f>
        <v>0.0</v>
      </c>
      <c r="K343" s="31">
        <f>AO343+MIN(U342+AE343-AO343,MAX(0,ROUND(ROUND(Долги!$D$19-SUM($AL343:$AU343),2)-(SUM($H343:J343)-SUM($AL343:AN343)),2)))</f>
        <v>0.0</v>
      </c>
      <c r="L343" s="31">
        <f>AP343+MIN(V342+AF343-AP343,MAX(0,ROUND(ROUND(Долги!$D$19-SUM($AL343:$AU343),2)-(SUM($H343:K343)-SUM($AL343:AO343)),2)))</f>
        <v>0.0</v>
      </c>
      <c r="M343" s="31">
        <f>AQ343+MIN(W342+AG343-AQ343,MAX(0,ROUND(ROUND(Долги!$D$19-SUM($AL343:$AU343),2)-(SUM($H343:L343)-SUM($AL343:AP343)),2)))</f>
        <v>0.0</v>
      </c>
      <c r="N343" s="31">
        <f>AR343+MIN(X342+AH343-AR343,MAX(0,ROUND(ROUND(Долги!$D$19-SUM($AL343:$AU343),2)-(SUM($H343:M343)-SUM($AL343:AQ343)),2)))</f>
        <v>0.0</v>
      </c>
      <c r="O343" s="31">
        <f>AS343+MIN(Y342+AI343-AS343,MAX(0,ROUND(ROUND(Долги!$D$19-SUM($AL343:$AU343),2)-(SUM($H343:N343)-SUM($AL343:AR343)),2)))</f>
        <v>0.0</v>
      </c>
      <c r="P343" s="31">
        <f>AT343+MIN(Z342+AJ343-AT343,MAX(0,ROUND(ROUND(Долги!$D$19-SUM($AL343:$AU343),2)-(SUM($H343:O343)-SUM($AL343:AS343)),2)))</f>
        <v>0.0</v>
      </c>
      <c r="Q343" s="31">
        <f>AU343+MIN(AA342+AK343-AU343,MAX(0,ROUND(ROUND(Долги!$D$19-SUM($AL343:$AU343),2)-(SUM($H343:P343)-SUM($AL343:AT343)),2)))</f>
        <v>0.0</v>
      </c>
      <c r="R343" s="31">
        <f>IF(R342+AB343-H343&lt;=0.01,0,ROUND(R342+AB343-H343,2))</f>
        <v>0.0</v>
      </c>
      <c r="S343" s="31">
        <f>IF(S342+AC343-I343&lt;=0.01,0,ROUND(S342+AC343-I343,2))</f>
        <v>0.0</v>
      </c>
      <c r="T343" s="31">
        <f>IF(T342+AD343-J343&lt;=0.01,0,ROUND(T342+AD343-J343,2))</f>
        <v>0.0</v>
      </c>
      <c r="U343" s="31">
        <f>IF(U342+AE343-K343&lt;=0.01,0,ROUND(U342+AE343-K343,2))</f>
        <v>0.0</v>
      </c>
      <c r="V343" s="31">
        <f>IF(V342+AF343-L343&lt;=0.01,0,ROUND(V342+AF343-L343,2))</f>
        <v>0.0</v>
      </c>
      <c r="W343" s="31">
        <f>IF(W342+AG343-M343&lt;=0.01,0,ROUND(W342+AG343-M343,2))</f>
        <v>0.0</v>
      </c>
      <c r="X343" s="31">
        <f>IF(X342+AH343-N343&lt;=0.01,0,ROUND(X342+AH343-N343,2))</f>
        <v>0.0</v>
      </c>
      <c r="Y343" s="31">
        <f>IF(Y342+AI343-O343&lt;=0.01,0,ROUND(Y342+AI343-O343,2))</f>
        <v>0.0</v>
      </c>
      <c r="Z343" s="31">
        <f>IF(Z342+AJ343-P343&lt;=0.01,0,ROUND(Z342+AJ343-P343,2))</f>
        <v>0.0</v>
      </c>
      <c r="AA343" s="31">
        <f>IF(AA342+AK343-Q343&lt;=0.01,0,ROUND(AA342+AK343-Q343,2))</f>
        <v>0.0</v>
      </c>
      <c r="AB343" s="31">
        <f>ROUND(R342*AB$5/1200,2)</f>
        <v>0.0</v>
      </c>
      <c r="AC343" s="31">
        <f>ROUND(S342*AC$5/1200,2)</f>
        <v>0.0</v>
      </c>
      <c r="AD343" s="31">
        <f>ROUND(T342*AD$5/1200,2)</f>
        <v>0.0</v>
      </c>
      <c r="AE343" s="31">
        <f>ROUND(U342*AE$5/1200,2)</f>
        <v>0.0</v>
      </c>
      <c r="AF343" s="31">
        <f>ROUND(V342*AF$5/1200,2)</f>
        <v>0.0</v>
      </c>
      <c r="AG343" s="31">
        <f>ROUND(W342*AG$5/1200,2)</f>
        <v>0.0</v>
      </c>
      <c r="AH343" s="31">
        <f>ROUND(X342*AH$5/1200,2)</f>
        <v>0.0</v>
      </c>
      <c r="AI343" s="31">
        <f>ROUND(Y342*AI$5/1200,2)</f>
        <v>0.0</v>
      </c>
      <c r="AJ343" s="31">
        <f>ROUND(Z342*AJ$5/1200,2)</f>
        <v>0.0</v>
      </c>
      <c r="AK343" s="31">
        <f>ROUND(AA342*AK$5/1200,2)</f>
        <v>0.0</v>
      </c>
      <c r="AL343" s="31">
        <f>MIN(AL$5,R342+AB343)</f>
        <v>0.0</v>
      </c>
      <c r="AM343" s="31">
        <f>MIN(AM$5,S342+AC343)</f>
        <v>0.0</v>
      </c>
      <c r="AN343" s="31">
        <f>MIN(AN$5,T342+AD343)</f>
        <v>0.0</v>
      </c>
      <c r="AO343" s="31">
        <f>MIN(AO$5,U342+AE343)</f>
        <v>0.0</v>
      </c>
      <c r="AP343" s="31">
        <f>MIN(AP$5,V342+AF343)</f>
        <v>0.0</v>
      </c>
      <c r="AQ343" s="31">
        <f>MIN(AQ$5,W342+AG343)</f>
        <v>0.0</v>
      </c>
      <c r="AR343" s="31">
        <f>MIN(AR$5,X342+AH343)</f>
        <v>0.0</v>
      </c>
      <c r="AS343" s="31">
        <f>MIN(AS$5,Y342+AI343)</f>
        <v>0.0</v>
      </c>
      <c r="AT343" s="31">
        <f>MIN(AT$5,Z342+AJ343)</f>
        <v>0.0</v>
      </c>
      <c r="AU343" s="31">
        <f>MIN(AU$5,AA342+AK343)</f>
        <v>0.0</v>
      </c>
    </row>
    <row r="344">
      <c r="A344" s="25" t="str">
        <f>IF(F343&gt;0.005,339,"")</f>
        <v/>
      </c>
      <c r="B344" s="33" t="str">
        <f>IF(A344="","",EDATE(Долги!$D$5,338))</f>
        <v/>
      </c>
      <c r="C344" s="31">
        <f>SUM(H344:Q344)</f>
        <v>0.0</v>
      </c>
      <c r="D344" s="31">
        <f>SUM(AB344:AK344)</f>
        <v>0.0</v>
      </c>
      <c r="E344" s="31">
        <f>C344-D344</f>
        <v>0.0</v>
      </c>
      <c r="F344" s="31">
        <f>SUM(R344:AA344)</f>
        <v>0.0</v>
      </c>
      <c r="G344" s="34" t="str">
        <f>IF(OR(A344="",$F$5&lt;=0),"",REPT("█",ROUND(20*F344/$F$5,0)))</f>
        <v/>
      </c>
      <c r="H344" s="31">
        <f>AL344+MIN(R343+AB344-AL344,MAX(0,ROUND(Долги!$D$19-SUM($AL344:$AU344),2)))</f>
        <v>0.0</v>
      </c>
      <c r="I344" s="31">
        <f>AM344+MIN(S343+AC344-AM344,MAX(0,ROUND(ROUND(Долги!$D$19-SUM($AL344:$AU344),2)-(SUM($H344:H344)-SUM($AL344:AL344)),2)))</f>
        <v>0.0</v>
      </c>
      <c r="J344" s="31">
        <f>AN344+MIN(T343+AD344-AN344,MAX(0,ROUND(ROUND(Долги!$D$19-SUM($AL344:$AU344),2)-(SUM($H344:I344)-SUM($AL344:AM344)),2)))</f>
        <v>0.0</v>
      </c>
      <c r="K344" s="31">
        <f>AO344+MIN(U343+AE344-AO344,MAX(0,ROUND(ROUND(Долги!$D$19-SUM($AL344:$AU344),2)-(SUM($H344:J344)-SUM($AL344:AN344)),2)))</f>
        <v>0.0</v>
      </c>
      <c r="L344" s="31">
        <f>AP344+MIN(V343+AF344-AP344,MAX(0,ROUND(ROUND(Долги!$D$19-SUM($AL344:$AU344),2)-(SUM($H344:K344)-SUM($AL344:AO344)),2)))</f>
        <v>0.0</v>
      </c>
      <c r="M344" s="31">
        <f>AQ344+MIN(W343+AG344-AQ344,MAX(0,ROUND(ROUND(Долги!$D$19-SUM($AL344:$AU344),2)-(SUM($H344:L344)-SUM($AL344:AP344)),2)))</f>
        <v>0.0</v>
      </c>
      <c r="N344" s="31">
        <f>AR344+MIN(X343+AH344-AR344,MAX(0,ROUND(ROUND(Долги!$D$19-SUM($AL344:$AU344),2)-(SUM($H344:M344)-SUM($AL344:AQ344)),2)))</f>
        <v>0.0</v>
      </c>
      <c r="O344" s="31">
        <f>AS344+MIN(Y343+AI344-AS344,MAX(0,ROUND(ROUND(Долги!$D$19-SUM($AL344:$AU344),2)-(SUM($H344:N344)-SUM($AL344:AR344)),2)))</f>
        <v>0.0</v>
      </c>
      <c r="P344" s="31">
        <f>AT344+MIN(Z343+AJ344-AT344,MAX(0,ROUND(ROUND(Долги!$D$19-SUM($AL344:$AU344),2)-(SUM($H344:O344)-SUM($AL344:AS344)),2)))</f>
        <v>0.0</v>
      </c>
      <c r="Q344" s="31">
        <f>AU344+MIN(AA343+AK344-AU344,MAX(0,ROUND(ROUND(Долги!$D$19-SUM($AL344:$AU344),2)-(SUM($H344:P344)-SUM($AL344:AT344)),2)))</f>
        <v>0.0</v>
      </c>
      <c r="R344" s="31">
        <f>IF(R343+AB344-H344&lt;=0.01,0,ROUND(R343+AB344-H344,2))</f>
        <v>0.0</v>
      </c>
      <c r="S344" s="31">
        <f>IF(S343+AC344-I344&lt;=0.01,0,ROUND(S343+AC344-I344,2))</f>
        <v>0.0</v>
      </c>
      <c r="T344" s="31">
        <f>IF(T343+AD344-J344&lt;=0.01,0,ROUND(T343+AD344-J344,2))</f>
        <v>0.0</v>
      </c>
      <c r="U344" s="31">
        <f>IF(U343+AE344-K344&lt;=0.01,0,ROUND(U343+AE344-K344,2))</f>
        <v>0.0</v>
      </c>
      <c r="V344" s="31">
        <f>IF(V343+AF344-L344&lt;=0.01,0,ROUND(V343+AF344-L344,2))</f>
        <v>0.0</v>
      </c>
      <c r="W344" s="31">
        <f>IF(W343+AG344-M344&lt;=0.01,0,ROUND(W343+AG344-M344,2))</f>
        <v>0.0</v>
      </c>
      <c r="X344" s="31">
        <f>IF(X343+AH344-N344&lt;=0.01,0,ROUND(X343+AH344-N344,2))</f>
        <v>0.0</v>
      </c>
      <c r="Y344" s="31">
        <f>IF(Y343+AI344-O344&lt;=0.01,0,ROUND(Y343+AI344-O344,2))</f>
        <v>0.0</v>
      </c>
      <c r="Z344" s="31">
        <f>IF(Z343+AJ344-P344&lt;=0.01,0,ROUND(Z343+AJ344-P344,2))</f>
        <v>0.0</v>
      </c>
      <c r="AA344" s="31">
        <f>IF(AA343+AK344-Q344&lt;=0.01,0,ROUND(AA343+AK344-Q344,2))</f>
        <v>0.0</v>
      </c>
      <c r="AB344" s="31">
        <f>ROUND(R343*AB$5/1200,2)</f>
        <v>0.0</v>
      </c>
      <c r="AC344" s="31">
        <f>ROUND(S343*AC$5/1200,2)</f>
        <v>0.0</v>
      </c>
      <c r="AD344" s="31">
        <f>ROUND(T343*AD$5/1200,2)</f>
        <v>0.0</v>
      </c>
      <c r="AE344" s="31">
        <f>ROUND(U343*AE$5/1200,2)</f>
        <v>0.0</v>
      </c>
      <c r="AF344" s="31">
        <f>ROUND(V343*AF$5/1200,2)</f>
        <v>0.0</v>
      </c>
      <c r="AG344" s="31">
        <f>ROUND(W343*AG$5/1200,2)</f>
        <v>0.0</v>
      </c>
      <c r="AH344" s="31">
        <f>ROUND(X343*AH$5/1200,2)</f>
        <v>0.0</v>
      </c>
      <c r="AI344" s="31">
        <f>ROUND(Y343*AI$5/1200,2)</f>
        <v>0.0</v>
      </c>
      <c r="AJ344" s="31">
        <f>ROUND(Z343*AJ$5/1200,2)</f>
        <v>0.0</v>
      </c>
      <c r="AK344" s="31">
        <f>ROUND(AA343*AK$5/1200,2)</f>
        <v>0.0</v>
      </c>
      <c r="AL344" s="31">
        <f>MIN(AL$5,R343+AB344)</f>
        <v>0.0</v>
      </c>
      <c r="AM344" s="31">
        <f>MIN(AM$5,S343+AC344)</f>
        <v>0.0</v>
      </c>
      <c r="AN344" s="31">
        <f>MIN(AN$5,T343+AD344)</f>
        <v>0.0</v>
      </c>
      <c r="AO344" s="31">
        <f>MIN(AO$5,U343+AE344)</f>
        <v>0.0</v>
      </c>
      <c r="AP344" s="31">
        <f>MIN(AP$5,V343+AF344)</f>
        <v>0.0</v>
      </c>
      <c r="AQ344" s="31">
        <f>MIN(AQ$5,W343+AG344)</f>
        <v>0.0</v>
      </c>
      <c r="AR344" s="31">
        <f>MIN(AR$5,X343+AH344)</f>
        <v>0.0</v>
      </c>
      <c r="AS344" s="31">
        <f>MIN(AS$5,Y343+AI344)</f>
        <v>0.0</v>
      </c>
      <c r="AT344" s="31">
        <f>MIN(AT$5,Z343+AJ344)</f>
        <v>0.0</v>
      </c>
      <c r="AU344" s="31">
        <f>MIN(AU$5,AA343+AK344)</f>
        <v>0.0</v>
      </c>
    </row>
    <row r="345">
      <c r="A345" s="25" t="str">
        <f>IF(F344&gt;0.005,340,"")</f>
        <v/>
      </c>
      <c r="B345" s="33" t="str">
        <f>IF(A345="","",EDATE(Долги!$D$5,339))</f>
        <v/>
      </c>
      <c r="C345" s="31">
        <f>SUM(H345:Q345)</f>
        <v>0.0</v>
      </c>
      <c r="D345" s="31">
        <f>SUM(AB345:AK345)</f>
        <v>0.0</v>
      </c>
      <c r="E345" s="31">
        <f>C345-D345</f>
        <v>0.0</v>
      </c>
      <c r="F345" s="31">
        <f>SUM(R345:AA345)</f>
        <v>0.0</v>
      </c>
      <c r="G345" s="34" t="str">
        <f>IF(OR(A345="",$F$5&lt;=0),"",REPT("█",ROUND(20*F345/$F$5,0)))</f>
        <v/>
      </c>
      <c r="H345" s="31">
        <f>AL345+MIN(R344+AB345-AL345,MAX(0,ROUND(Долги!$D$19-SUM($AL345:$AU345),2)))</f>
        <v>0.0</v>
      </c>
      <c r="I345" s="31">
        <f>AM345+MIN(S344+AC345-AM345,MAX(0,ROUND(ROUND(Долги!$D$19-SUM($AL345:$AU345),2)-(SUM($H345:H345)-SUM($AL345:AL345)),2)))</f>
        <v>0.0</v>
      </c>
      <c r="J345" s="31">
        <f>AN345+MIN(T344+AD345-AN345,MAX(0,ROUND(ROUND(Долги!$D$19-SUM($AL345:$AU345),2)-(SUM($H345:I345)-SUM($AL345:AM345)),2)))</f>
        <v>0.0</v>
      </c>
      <c r="K345" s="31">
        <f>AO345+MIN(U344+AE345-AO345,MAX(0,ROUND(ROUND(Долги!$D$19-SUM($AL345:$AU345),2)-(SUM($H345:J345)-SUM($AL345:AN345)),2)))</f>
        <v>0.0</v>
      </c>
      <c r="L345" s="31">
        <f>AP345+MIN(V344+AF345-AP345,MAX(0,ROUND(ROUND(Долги!$D$19-SUM($AL345:$AU345),2)-(SUM($H345:K345)-SUM($AL345:AO345)),2)))</f>
        <v>0.0</v>
      </c>
      <c r="M345" s="31">
        <f>AQ345+MIN(W344+AG345-AQ345,MAX(0,ROUND(ROUND(Долги!$D$19-SUM($AL345:$AU345),2)-(SUM($H345:L345)-SUM($AL345:AP345)),2)))</f>
        <v>0.0</v>
      </c>
      <c r="N345" s="31">
        <f>AR345+MIN(X344+AH345-AR345,MAX(0,ROUND(ROUND(Долги!$D$19-SUM($AL345:$AU345),2)-(SUM($H345:M345)-SUM($AL345:AQ345)),2)))</f>
        <v>0.0</v>
      </c>
      <c r="O345" s="31">
        <f>AS345+MIN(Y344+AI345-AS345,MAX(0,ROUND(ROUND(Долги!$D$19-SUM($AL345:$AU345),2)-(SUM($H345:N345)-SUM($AL345:AR345)),2)))</f>
        <v>0.0</v>
      </c>
      <c r="P345" s="31">
        <f>AT345+MIN(Z344+AJ345-AT345,MAX(0,ROUND(ROUND(Долги!$D$19-SUM($AL345:$AU345),2)-(SUM($H345:O345)-SUM($AL345:AS345)),2)))</f>
        <v>0.0</v>
      </c>
      <c r="Q345" s="31">
        <f>AU345+MIN(AA344+AK345-AU345,MAX(0,ROUND(ROUND(Долги!$D$19-SUM($AL345:$AU345),2)-(SUM($H345:P345)-SUM($AL345:AT345)),2)))</f>
        <v>0.0</v>
      </c>
      <c r="R345" s="31">
        <f>IF(R344+AB345-H345&lt;=0.01,0,ROUND(R344+AB345-H345,2))</f>
        <v>0.0</v>
      </c>
      <c r="S345" s="31">
        <f>IF(S344+AC345-I345&lt;=0.01,0,ROUND(S344+AC345-I345,2))</f>
        <v>0.0</v>
      </c>
      <c r="T345" s="31">
        <f>IF(T344+AD345-J345&lt;=0.01,0,ROUND(T344+AD345-J345,2))</f>
        <v>0.0</v>
      </c>
      <c r="U345" s="31">
        <f>IF(U344+AE345-K345&lt;=0.01,0,ROUND(U344+AE345-K345,2))</f>
        <v>0.0</v>
      </c>
      <c r="V345" s="31">
        <f>IF(V344+AF345-L345&lt;=0.01,0,ROUND(V344+AF345-L345,2))</f>
        <v>0.0</v>
      </c>
      <c r="W345" s="31">
        <f>IF(W344+AG345-M345&lt;=0.01,0,ROUND(W344+AG345-M345,2))</f>
        <v>0.0</v>
      </c>
      <c r="X345" s="31">
        <f>IF(X344+AH345-N345&lt;=0.01,0,ROUND(X344+AH345-N345,2))</f>
        <v>0.0</v>
      </c>
      <c r="Y345" s="31">
        <f>IF(Y344+AI345-O345&lt;=0.01,0,ROUND(Y344+AI345-O345,2))</f>
        <v>0.0</v>
      </c>
      <c r="Z345" s="31">
        <f>IF(Z344+AJ345-P345&lt;=0.01,0,ROUND(Z344+AJ345-P345,2))</f>
        <v>0.0</v>
      </c>
      <c r="AA345" s="31">
        <f>IF(AA344+AK345-Q345&lt;=0.01,0,ROUND(AA344+AK345-Q345,2))</f>
        <v>0.0</v>
      </c>
      <c r="AB345" s="31">
        <f>ROUND(R344*AB$5/1200,2)</f>
        <v>0.0</v>
      </c>
      <c r="AC345" s="31">
        <f>ROUND(S344*AC$5/1200,2)</f>
        <v>0.0</v>
      </c>
      <c r="AD345" s="31">
        <f>ROUND(T344*AD$5/1200,2)</f>
        <v>0.0</v>
      </c>
      <c r="AE345" s="31">
        <f>ROUND(U344*AE$5/1200,2)</f>
        <v>0.0</v>
      </c>
      <c r="AF345" s="31">
        <f>ROUND(V344*AF$5/1200,2)</f>
        <v>0.0</v>
      </c>
      <c r="AG345" s="31">
        <f>ROUND(W344*AG$5/1200,2)</f>
        <v>0.0</v>
      </c>
      <c r="AH345" s="31">
        <f>ROUND(X344*AH$5/1200,2)</f>
        <v>0.0</v>
      </c>
      <c r="AI345" s="31">
        <f>ROUND(Y344*AI$5/1200,2)</f>
        <v>0.0</v>
      </c>
      <c r="AJ345" s="31">
        <f>ROUND(Z344*AJ$5/1200,2)</f>
        <v>0.0</v>
      </c>
      <c r="AK345" s="31">
        <f>ROUND(AA344*AK$5/1200,2)</f>
        <v>0.0</v>
      </c>
      <c r="AL345" s="31">
        <f>MIN(AL$5,R344+AB345)</f>
        <v>0.0</v>
      </c>
      <c r="AM345" s="31">
        <f>MIN(AM$5,S344+AC345)</f>
        <v>0.0</v>
      </c>
      <c r="AN345" s="31">
        <f>MIN(AN$5,T344+AD345)</f>
        <v>0.0</v>
      </c>
      <c r="AO345" s="31">
        <f>MIN(AO$5,U344+AE345)</f>
        <v>0.0</v>
      </c>
      <c r="AP345" s="31">
        <f>MIN(AP$5,V344+AF345)</f>
        <v>0.0</v>
      </c>
      <c r="AQ345" s="31">
        <f>MIN(AQ$5,W344+AG345)</f>
        <v>0.0</v>
      </c>
      <c r="AR345" s="31">
        <f>MIN(AR$5,X344+AH345)</f>
        <v>0.0</v>
      </c>
      <c r="AS345" s="31">
        <f>MIN(AS$5,Y344+AI345)</f>
        <v>0.0</v>
      </c>
      <c r="AT345" s="31">
        <f>MIN(AT$5,Z344+AJ345)</f>
        <v>0.0</v>
      </c>
      <c r="AU345" s="31">
        <f>MIN(AU$5,AA344+AK345)</f>
        <v>0.0</v>
      </c>
    </row>
    <row r="346">
      <c r="A346" s="25" t="str">
        <f>IF(F345&gt;0.005,341,"")</f>
        <v/>
      </c>
      <c r="B346" s="33" t="str">
        <f>IF(A346="","",EDATE(Долги!$D$5,340))</f>
        <v/>
      </c>
      <c r="C346" s="31">
        <f>SUM(H346:Q346)</f>
        <v>0.0</v>
      </c>
      <c r="D346" s="31">
        <f>SUM(AB346:AK346)</f>
        <v>0.0</v>
      </c>
      <c r="E346" s="31">
        <f>C346-D346</f>
        <v>0.0</v>
      </c>
      <c r="F346" s="31">
        <f>SUM(R346:AA346)</f>
        <v>0.0</v>
      </c>
      <c r="G346" s="34" t="str">
        <f>IF(OR(A346="",$F$5&lt;=0),"",REPT("█",ROUND(20*F346/$F$5,0)))</f>
        <v/>
      </c>
      <c r="H346" s="31">
        <f>AL346+MIN(R345+AB346-AL346,MAX(0,ROUND(Долги!$D$19-SUM($AL346:$AU346),2)))</f>
        <v>0.0</v>
      </c>
      <c r="I346" s="31">
        <f>AM346+MIN(S345+AC346-AM346,MAX(0,ROUND(ROUND(Долги!$D$19-SUM($AL346:$AU346),2)-(SUM($H346:H346)-SUM($AL346:AL346)),2)))</f>
        <v>0.0</v>
      </c>
      <c r="J346" s="31">
        <f>AN346+MIN(T345+AD346-AN346,MAX(0,ROUND(ROUND(Долги!$D$19-SUM($AL346:$AU346),2)-(SUM($H346:I346)-SUM($AL346:AM346)),2)))</f>
        <v>0.0</v>
      </c>
      <c r="K346" s="31">
        <f>AO346+MIN(U345+AE346-AO346,MAX(0,ROUND(ROUND(Долги!$D$19-SUM($AL346:$AU346),2)-(SUM($H346:J346)-SUM($AL346:AN346)),2)))</f>
        <v>0.0</v>
      </c>
      <c r="L346" s="31">
        <f>AP346+MIN(V345+AF346-AP346,MAX(0,ROUND(ROUND(Долги!$D$19-SUM($AL346:$AU346),2)-(SUM($H346:K346)-SUM($AL346:AO346)),2)))</f>
        <v>0.0</v>
      </c>
      <c r="M346" s="31">
        <f>AQ346+MIN(W345+AG346-AQ346,MAX(0,ROUND(ROUND(Долги!$D$19-SUM($AL346:$AU346),2)-(SUM($H346:L346)-SUM($AL346:AP346)),2)))</f>
        <v>0.0</v>
      </c>
      <c r="N346" s="31">
        <f>AR346+MIN(X345+AH346-AR346,MAX(0,ROUND(ROUND(Долги!$D$19-SUM($AL346:$AU346),2)-(SUM($H346:M346)-SUM($AL346:AQ346)),2)))</f>
        <v>0.0</v>
      </c>
      <c r="O346" s="31">
        <f>AS346+MIN(Y345+AI346-AS346,MAX(0,ROUND(ROUND(Долги!$D$19-SUM($AL346:$AU346),2)-(SUM($H346:N346)-SUM($AL346:AR346)),2)))</f>
        <v>0.0</v>
      </c>
      <c r="P346" s="31">
        <f>AT346+MIN(Z345+AJ346-AT346,MAX(0,ROUND(ROUND(Долги!$D$19-SUM($AL346:$AU346),2)-(SUM($H346:O346)-SUM($AL346:AS346)),2)))</f>
        <v>0.0</v>
      </c>
      <c r="Q346" s="31">
        <f>AU346+MIN(AA345+AK346-AU346,MAX(0,ROUND(ROUND(Долги!$D$19-SUM($AL346:$AU346),2)-(SUM($H346:P346)-SUM($AL346:AT346)),2)))</f>
        <v>0.0</v>
      </c>
      <c r="R346" s="31">
        <f>IF(R345+AB346-H346&lt;=0.01,0,ROUND(R345+AB346-H346,2))</f>
        <v>0.0</v>
      </c>
      <c r="S346" s="31">
        <f>IF(S345+AC346-I346&lt;=0.01,0,ROUND(S345+AC346-I346,2))</f>
        <v>0.0</v>
      </c>
      <c r="T346" s="31">
        <f>IF(T345+AD346-J346&lt;=0.01,0,ROUND(T345+AD346-J346,2))</f>
        <v>0.0</v>
      </c>
      <c r="U346" s="31">
        <f>IF(U345+AE346-K346&lt;=0.01,0,ROUND(U345+AE346-K346,2))</f>
        <v>0.0</v>
      </c>
      <c r="V346" s="31">
        <f>IF(V345+AF346-L346&lt;=0.01,0,ROUND(V345+AF346-L346,2))</f>
        <v>0.0</v>
      </c>
      <c r="W346" s="31">
        <f>IF(W345+AG346-M346&lt;=0.01,0,ROUND(W345+AG346-M346,2))</f>
        <v>0.0</v>
      </c>
      <c r="X346" s="31">
        <f>IF(X345+AH346-N346&lt;=0.01,0,ROUND(X345+AH346-N346,2))</f>
        <v>0.0</v>
      </c>
      <c r="Y346" s="31">
        <f>IF(Y345+AI346-O346&lt;=0.01,0,ROUND(Y345+AI346-O346,2))</f>
        <v>0.0</v>
      </c>
      <c r="Z346" s="31">
        <f>IF(Z345+AJ346-P346&lt;=0.01,0,ROUND(Z345+AJ346-P346,2))</f>
        <v>0.0</v>
      </c>
      <c r="AA346" s="31">
        <f>IF(AA345+AK346-Q346&lt;=0.01,0,ROUND(AA345+AK346-Q346,2))</f>
        <v>0.0</v>
      </c>
      <c r="AB346" s="31">
        <f>ROUND(R345*AB$5/1200,2)</f>
        <v>0.0</v>
      </c>
      <c r="AC346" s="31">
        <f>ROUND(S345*AC$5/1200,2)</f>
        <v>0.0</v>
      </c>
      <c r="AD346" s="31">
        <f>ROUND(T345*AD$5/1200,2)</f>
        <v>0.0</v>
      </c>
      <c r="AE346" s="31">
        <f>ROUND(U345*AE$5/1200,2)</f>
        <v>0.0</v>
      </c>
      <c r="AF346" s="31">
        <f>ROUND(V345*AF$5/1200,2)</f>
        <v>0.0</v>
      </c>
      <c r="AG346" s="31">
        <f>ROUND(W345*AG$5/1200,2)</f>
        <v>0.0</v>
      </c>
      <c r="AH346" s="31">
        <f>ROUND(X345*AH$5/1200,2)</f>
        <v>0.0</v>
      </c>
      <c r="AI346" s="31">
        <f>ROUND(Y345*AI$5/1200,2)</f>
        <v>0.0</v>
      </c>
      <c r="AJ346" s="31">
        <f>ROUND(Z345*AJ$5/1200,2)</f>
        <v>0.0</v>
      </c>
      <c r="AK346" s="31">
        <f>ROUND(AA345*AK$5/1200,2)</f>
        <v>0.0</v>
      </c>
      <c r="AL346" s="31">
        <f>MIN(AL$5,R345+AB346)</f>
        <v>0.0</v>
      </c>
      <c r="AM346" s="31">
        <f>MIN(AM$5,S345+AC346)</f>
        <v>0.0</v>
      </c>
      <c r="AN346" s="31">
        <f>MIN(AN$5,T345+AD346)</f>
        <v>0.0</v>
      </c>
      <c r="AO346" s="31">
        <f>MIN(AO$5,U345+AE346)</f>
        <v>0.0</v>
      </c>
      <c r="AP346" s="31">
        <f>MIN(AP$5,V345+AF346)</f>
        <v>0.0</v>
      </c>
      <c r="AQ346" s="31">
        <f>MIN(AQ$5,W345+AG346)</f>
        <v>0.0</v>
      </c>
      <c r="AR346" s="31">
        <f>MIN(AR$5,X345+AH346)</f>
        <v>0.0</v>
      </c>
      <c r="AS346" s="31">
        <f>MIN(AS$5,Y345+AI346)</f>
        <v>0.0</v>
      </c>
      <c r="AT346" s="31">
        <f>MIN(AT$5,Z345+AJ346)</f>
        <v>0.0</v>
      </c>
      <c r="AU346" s="31">
        <f>MIN(AU$5,AA345+AK346)</f>
        <v>0.0</v>
      </c>
    </row>
    <row r="347">
      <c r="A347" s="25" t="str">
        <f>IF(F346&gt;0.005,342,"")</f>
        <v/>
      </c>
      <c r="B347" s="33" t="str">
        <f>IF(A347="","",EDATE(Долги!$D$5,341))</f>
        <v/>
      </c>
      <c r="C347" s="31">
        <f>SUM(H347:Q347)</f>
        <v>0.0</v>
      </c>
      <c r="D347" s="31">
        <f>SUM(AB347:AK347)</f>
        <v>0.0</v>
      </c>
      <c r="E347" s="31">
        <f>C347-D347</f>
        <v>0.0</v>
      </c>
      <c r="F347" s="31">
        <f>SUM(R347:AA347)</f>
        <v>0.0</v>
      </c>
      <c r="G347" s="34" t="str">
        <f>IF(OR(A347="",$F$5&lt;=0),"",REPT("█",ROUND(20*F347/$F$5,0)))</f>
        <v/>
      </c>
      <c r="H347" s="31">
        <f>AL347+MIN(R346+AB347-AL347,MAX(0,ROUND(Долги!$D$19-SUM($AL347:$AU347),2)))</f>
        <v>0.0</v>
      </c>
      <c r="I347" s="31">
        <f>AM347+MIN(S346+AC347-AM347,MAX(0,ROUND(ROUND(Долги!$D$19-SUM($AL347:$AU347),2)-(SUM($H347:H347)-SUM($AL347:AL347)),2)))</f>
        <v>0.0</v>
      </c>
      <c r="J347" s="31">
        <f>AN347+MIN(T346+AD347-AN347,MAX(0,ROUND(ROUND(Долги!$D$19-SUM($AL347:$AU347),2)-(SUM($H347:I347)-SUM($AL347:AM347)),2)))</f>
        <v>0.0</v>
      </c>
      <c r="K347" s="31">
        <f>AO347+MIN(U346+AE347-AO347,MAX(0,ROUND(ROUND(Долги!$D$19-SUM($AL347:$AU347),2)-(SUM($H347:J347)-SUM($AL347:AN347)),2)))</f>
        <v>0.0</v>
      </c>
      <c r="L347" s="31">
        <f>AP347+MIN(V346+AF347-AP347,MAX(0,ROUND(ROUND(Долги!$D$19-SUM($AL347:$AU347),2)-(SUM($H347:K347)-SUM($AL347:AO347)),2)))</f>
        <v>0.0</v>
      </c>
      <c r="M347" s="31">
        <f>AQ347+MIN(W346+AG347-AQ347,MAX(0,ROUND(ROUND(Долги!$D$19-SUM($AL347:$AU347),2)-(SUM($H347:L347)-SUM($AL347:AP347)),2)))</f>
        <v>0.0</v>
      </c>
      <c r="N347" s="31">
        <f>AR347+MIN(X346+AH347-AR347,MAX(0,ROUND(ROUND(Долги!$D$19-SUM($AL347:$AU347),2)-(SUM($H347:M347)-SUM($AL347:AQ347)),2)))</f>
        <v>0.0</v>
      </c>
      <c r="O347" s="31">
        <f>AS347+MIN(Y346+AI347-AS347,MAX(0,ROUND(ROUND(Долги!$D$19-SUM($AL347:$AU347),2)-(SUM($H347:N347)-SUM($AL347:AR347)),2)))</f>
        <v>0.0</v>
      </c>
      <c r="P347" s="31">
        <f>AT347+MIN(Z346+AJ347-AT347,MAX(0,ROUND(ROUND(Долги!$D$19-SUM($AL347:$AU347),2)-(SUM($H347:O347)-SUM($AL347:AS347)),2)))</f>
        <v>0.0</v>
      </c>
      <c r="Q347" s="31">
        <f>AU347+MIN(AA346+AK347-AU347,MAX(0,ROUND(ROUND(Долги!$D$19-SUM($AL347:$AU347),2)-(SUM($H347:P347)-SUM($AL347:AT347)),2)))</f>
        <v>0.0</v>
      </c>
      <c r="R347" s="31">
        <f>IF(R346+AB347-H347&lt;=0.01,0,ROUND(R346+AB347-H347,2))</f>
        <v>0.0</v>
      </c>
      <c r="S347" s="31">
        <f>IF(S346+AC347-I347&lt;=0.01,0,ROUND(S346+AC347-I347,2))</f>
        <v>0.0</v>
      </c>
      <c r="T347" s="31">
        <f>IF(T346+AD347-J347&lt;=0.01,0,ROUND(T346+AD347-J347,2))</f>
        <v>0.0</v>
      </c>
      <c r="U347" s="31">
        <f>IF(U346+AE347-K347&lt;=0.01,0,ROUND(U346+AE347-K347,2))</f>
        <v>0.0</v>
      </c>
      <c r="V347" s="31">
        <f>IF(V346+AF347-L347&lt;=0.01,0,ROUND(V346+AF347-L347,2))</f>
        <v>0.0</v>
      </c>
      <c r="W347" s="31">
        <f>IF(W346+AG347-M347&lt;=0.01,0,ROUND(W346+AG347-M347,2))</f>
        <v>0.0</v>
      </c>
      <c r="X347" s="31">
        <f>IF(X346+AH347-N347&lt;=0.01,0,ROUND(X346+AH347-N347,2))</f>
        <v>0.0</v>
      </c>
      <c r="Y347" s="31">
        <f>IF(Y346+AI347-O347&lt;=0.01,0,ROUND(Y346+AI347-O347,2))</f>
        <v>0.0</v>
      </c>
      <c r="Z347" s="31">
        <f>IF(Z346+AJ347-P347&lt;=0.01,0,ROUND(Z346+AJ347-P347,2))</f>
        <v>0.0</v>
      </c>
      <c r="AA347" s="31">
        <f>IF(AA346+AK347-Q347&lt;=0.01,0,ROUND(AA346+AK347-Q347,2))</f>
        <v>0.0</v>
      </c>
      <c r="AB347" s="31">
        <f>ROUND(R346*AB$5/1200,2)</f>
        <v>0.0</v>
      </c>
      <c r="AC347" s="31">
        <f>ROUND(S346*AC$5/1200,2)</f>
        <v>0.0</v>
      </c>
      <c r="AD347" s="31">
        <f>ROUND(T346*AD$5/1200,2)</f>
        <v>0.0</v>
      </c>
      <c r="AE347" s="31">
        <f>ROUND(U346*AE$5/1200,2)</f>
        <v>0.0</v>
      </c>
      <c r="AF347" s="31">
        <f>ROUND(V346*AF$5/1200,2)</f>
        <v>0.0</v>
      </c>
      <c r="AG347" s="31">
        <f>ROUND(W346*AG$5/1200,2)</f>
        <v>0.0</v>
      </c>
      <c r="AH347" s="31">
        <f>ROUND(X346*AH$5/1200,2)</f>
        <v>0.0</v>
      </c>
      <c r="AI347" s="31">
        <f>ROUND(Y346*AI$5/1200,2)</f>
        <v>0.0</v>
      </c>
      <c r="AJ347" s="31">
        <f>ROUND(Z346*AJ$5/1200,2)</f>
        <v>0.0</v>
      </c>
      <c r="AK347" s="31">
        <f>ROUND(AA346*AK$5/1200,2)</f>
        <v>0.0</v>
      </c>
      <c r="AL347" s="31">
        <f>MIN(AL$5,R346+AB347)</f>
        <v>0.0</v>
      </c>
      <c r="AM347" s="31">
        <f>MIN(AM$5,S346+AC347)</f>
        <v>0.0</v>
      </c>
      <c r="AN347" s="31">
        <f>MIN(AN$5,T346+AD347)</f>
        <v>0.0</v>
      </c>
      <c r="AO347" s="31">
        <f>MIN(AO$5,U346+AE347)</f>
        <v>0.0</v>
      </c>
      <c r="AP347" s="31">
        <f>MIN(AP$5,V346+AF347)</f>
        <v>0.0</v>
      </c>
      <c r="AQ347" s="31">
        <f>MIN(AQ$5,W346+AG347)</f>
        <v>0.0</v>
      </c>
      <c r="AR347" s="31">
        <f>MIN(AR$5,X346+AH347)</f>
        <v>0.0</v>
      </c>
      <c r="AS347" s="31">
        <f>MIN(AS$5,Y346+AI347)</f>
        <v>0.0</v>
      </c>
      <c r="AT347" s="31">
        <f>MIN(AT$5,Z346+AJ347)</f>
        <v>0.0</v>
      </c>
      <c r="AU347" s="31">
        <f>MIN(AU$5,AA346+AK347)</f>
        <v>0.0</v>
      </c>
    </row>
    <row r="348">
      <c r="A348" s="25" t="str">
        <f>IF(F347&gt;0.005,343,"")</f>
        <v/>
      </c>
      <c r="B348" s="33" t="str">
        <f>IF(A348="","",EDATE(Долги!$D$5,342))</f>
        <v/>
      </c>
      <c r="C348" s="31">
        <f>SUM(H348:Q348)</f>
        <v>0.0</v>
      </c>
      <c r="D348" s="31">
        <f>SUM(AB348:AK348)</f>
        <v>0.0</v>
      </c>
      <c r="E348" s="31">
        <f>C348-D348</f>
        <v>0.0</v>
      </c>
      <c r="F348" s="31">
        <f>SUM(R348:AA348)</f>
        <v>0.0</v>
      </c>
      <c r="G348" s="34" t="str">
        <f>IF(OR(A348="",$F$5&lt;=0),"",REPT("█",ROUND(20*F348/$F$5,0)))</f>
        <v/>
      </c>
      <c r="H348" s="31">
        <f>AL348+MIN(R347+AB348-AL348,MAX(0,ROUND(Долги!$D$19-SUM($AL348:$AU348),2)))</f>
        <v>0.0</v>
      </c>
      <c r="I348" s="31">
        <f>AM348+MIN(S347+AC348-AM348,MAX(0,ROUND(ROUND(Долги!$D$19-SUM($AL348:$AU348),2)-(SUM($H348:H348)-SUM($AL348:AL348)),2)))</f>
        <v>0.0</v>
      </c>
      <c r="J348" s="31">
        <f>AN348+MIN(T347+AD348-AN348,MAX(0,ROUND(ROUND(Долги!$D$19-SUM($AL348:$AU348),2)-(SUM($H348:I348)-SUM($AL348:AM348)),2)))</f>
        <v>0.0</v>
      </c>
      <c r="K348" s="31">
        <f>AO348+MIN(U347+AE348-AO348,MAX(0,ROUND(ROUND(Долги!$D$19-SUM($AL348:$AU348),2)-(SUM($H348:J348)-SUM($AL348:AN348)),2)))</f>
        <v>0.0</v>
      </c>
      <c r="L348" s="31">
        <f>AP348+MIN(V347+AF348-AP348,MAX(0,ROUND(ROUND(Долги!$D$19-SUM($AL348:$AU348),2)-(SUM($H348:K348)-SUM($AL348:AO348)),2)))</f>
        <v>0.0</v>
      </c>
      <c r="M348" s="31">
        <f>AQ348+MIN(W347+AG348-AQ348,MAX(0,ROUND(ROUND(Долги!$D$19-SUM($AL348:$AU348),2)-(SUM($H348:L348)-SUM($AL348:AP348)),2)))</f>
        <v>0.0</v>
      </c>
      <c r="N348" s="31">
        <f>AR348+MIN(X347+AH348-AR348,MAX(0,ROUND(ROUND(Долги!$D$19-SUM($AL348:$AU348),2)-(SUM($H348:M348)-SUM($AL348:AQ348)),2)))</f>
        <v>0.0</v>
      </c>
      <c r="O348" s="31">
        <f>AS348+MIN(Y347+AI348-AS348,MAX(0,ROUND(ROUND(Долги!$D$19-SUM($AL348:$AU348),2)-(SUM($H348:N348)-SUM($AL348:AR348)),2)))</f>
        <v>0.0</v>
      </c>
      <c r="P348" s="31">
        <f>AT348+MIN(Z347+AJ348-AT348,MAX(0,ROUND(ROUND(Долги!$D$19-SUM($AL348:$AU348),2)-(SUM($H348:O348)-SUM($AL348:AS348)),2)))</f>
        <v>0.0</v>
      </c>
      <c r="Q348" s="31">
        <f>AU348+MIN(AA347+AK348-AU348,MAX(0,ROUND(ROUND(Долги!$D$19-SUM($AL348:$AU348),2)-(SUM($H348:P348)-SUM($AL348:AT348)),2)))</f>
        <v>0.0</v>
      </c>
      <c r="R348" s="31">
        <f>IF(R347+AB348-H348&lt;=0.01,0,ROUND(R347+AB348-H348,2))</f>
        <v>0.0</v>
      </c>
      <c r="S348" s="31">
        <f>IF(S347+AC348-I348&lt;=0.01,0,ROUND(S347+AC348-I348,2))</f>
        <v>0.0</v>
      </c>
      <c r="T348" s="31">
        <f>IF(T347+AD348-J348&lt;=0.01,0,ROUND(T347+AD348-J348,2))</f>
        <v>0.0</v>
      </c>
      <c r="U348" s="31">
        <f>IF(U347+AE348-K348&lt;=0.01,0,ROUND(U347+AE348-K348,2))</f>
        <v>0.0</v>
      </c>
      <c r="V348" s="31">
        <f>IF(V347+AF348-L348&lt;=0.01,0,ROUND(V347+AF348-L348,2))</f>
        <v>0.0</v>
      </c>
      <c r="W348" s="31">
        <f>IF(W347+AG348-M348&lt;=0.01,0,ROUND(W347+AG348-M348,2))</f>
        <v>0.0</v>
      </c>
      <c r="X348" s="31">
        <f>IF(X347+AH348-N348&lt;=0.01,0,ROUND(X347+AH348-N348,2))</f>
        <v>0.0</v>
      </c>
      <c r="Y348" s="31">
        <f>IF(Y347+AI348-O348&lt;=0.01,0,ROUND(Y347+AI348-O348,2))</f>
        <v>0.0</v>
      </c>
      <c r="Z348" s="31">
        <f>IF(Z347+AJ348-P348&lt;=0.01,0,ROUND(Z347+AJ348-P348,2))</f>
        <v>0.0</v>
      </c>
      <c r="AA348" s="31">
        <f>IF(AA347+AK348-Q348&lt;=0.01,0,ROUND(AA347+AK348-Q348,2))</f>
        <v>0.0</v>
      </c>
      <c r="AB348" s="31">
        <f>ROUND(R347*AB$5/1200,2)</f>
        <v>0.0</v>
      </c>
      <c r="AC348" s="31">
        <f>ROUND(S347*AC$5/1200,2)</f>
        <v>0.0</v>
      </c>
      <c r="AD348" s="31">
        <f>ROUND(T347*AD$5/1200,2)</f>
        <v>0.0</v>
      </c>
      <c r="AE348" s="31">
        <f>ROUND(U347*AE$5/1200,2)</f>
        <v>0.0</v>
      </c>
      <c r="AF348" s="31">
        <f>ROUND(V347*AF$5/1200,2)</f>
        <v>0.0</v>
      </c>
      <c r="AG348" s="31">
        <f>ROUND(W347*AG$5/1200,2)</f>
        <v>0.0</v>
      </c>
      <c r="AH348" s="31">
        <f>ROUND(X347*AH$5/1200,2)</f>
        <v>0.0</v>
      </c>
      <c r="AI348" s="31">
        <f>ROUND(Y347*AI$5/1200,2)</f>
        <v>0.0</v>
      </c>
      <c r="AJ348" s="31">
        <f>ROUND(Z347*AJ$5/1200,2)</f>
        <v>0.0</v>
      </c>
      <c r="AK348" s="31">
        <f>ROUND(AA347*AK$5/1200,2)</f>
        <v>0.0</v>
      </c>
      <c r="AL348" s="31">
        <f>MIN(AL$5,R347+AB348)</f>
        <v>0.0</v>
      </c>
      <c r="AM348" s="31">
        <f>MIN(AM$5,S347+AC348)</f>
        <v>0.0</v>
      </c>
      <c r="AN348" s="31">
        <f>MIN(AN$5,T347+AD348)</f>
        <v>0.0</v>
      </c>
      <c r="AO348" s="31">
        <f>MIN(AO$5,U347+AE348)</f>
        <v>0.0</v>
      </c>
      <c r="AP348" s="31">
        <f>MIN(AP$5,V347+AF348)</f>
        <v>0.0</v>
      </c>
      <c r="AQ348" s="31">
        <f>MIN(AQ$5,W347+AG348)</f>
        <v>0.0</v>
      </c>
      <c r="AR348" s="31">
        <f>MIN(AR$5,X347+AH348)</f>
        <v>0.0</v>
      </c>
      <c r="AS348" s="31">
        <f>MIN(AS$5,Y347+AI348)</f>
        <v>0.0</v>
      </c>
      <c r="AT348" s="31">
        <f>MIN(AT$5,Z347+AJ348)</f>
        <v>0.0</v>
      </c>
      <c r="AU348" s="31">
        <f>MIN(AU$5,AA347+AK348)</f>
        <v>0.0</v>
      </c>
    </row>
    <row r="349">
      <c r="A349" s="25" t="str">
        <f>IF(F348&gt;0.005,344,"")</f>
        <v/>
      </c>
      <c r="B349" s="33" t="str">
        <f>IF(A349="","",EDATE(Долги!$D$5,343))</f>
        <v/>
      </c>
      <c r="C349" s="31">
        <f>SUM(H349:Q349)</f>
        <v>0.0</v>
      </c>
      <c r="D349" s="31">
        <f>SUM(AB349:AK349)</f>
        <v>0.0</v>
      </c>
      <c r="E349" s="31">
        <f>C349-D349</f>
        <v>0.0</v>
      </c>
      <c r="F349" s="31">
        <f>SUM(R349:AA349)</f>
        <v>0.0</v>
      </c>
      <c r="G349" s="34" t="str">
        <f>IF(OR(A349="",$F$5&lt;=0),"",REPT("█",ROUND(20*F349/$F$5,0)))</f>
        <v/>
      </c>
      <c r="H349" s="31">
        <f>AL349+MIN(R348+AB349-AL349,MAX(0,ROUND(Долги!$D$19-SUM($AL349:$AU349),2)))</f>
        <v>0.0</v>
      </c>
      <c r="I349" s="31">
        <f>AM349+MIN(S348+AC349-AM349,MAX(0,ROUND(ROUND(Долги!$D$19-SUM($AL349:$AU349),2)-(SUM($H349:H349)-SUM($AL349:AL349)),2)))</f>
        <v>0.0</v>
      </c>
      <c r="J349" s="31">
        <f>AN349+MIN(T348+AD349-AN349,MAX(0,ROUND(ROUND(Долги!$D$19-SUM($AL349:$AU349),2)-(SUM($H349:I349)-SUM($AL349:AM349)),2)))</f>
        <v>0.0</v>
      </c>
      <c r="K349" s="31">
        <f>AO349+MIN(U348+AE349-AO349,MAX(0,ROUND(ROUND(Долги!$D$19-SUM($AL349:$AU349),2)-(SUM($H349:J349)-SUM($AL349:AN349)),2)))</f>
        <v>0.0</v>
      </c>
      <c r="L349" s="31">
        <f>AP349+MIN(V348+AF349-AP349,MAX(0,ROUND(ROUND(Долги!$D$19-SUM($AL349:$AU349),2)-(SUM($H349:K349)-SUM($AL349:AO349)),2)))</f>
        <v>0.0</v>
      </c>
      <c r="M349" s="31">
        <f>AQ349+MIN(W348+AG349-AQ349,MAX(0,ROUND(ROUND(Долги!$D$19-SUM($AL349:$AU349),2)-(SUM($H349:L349)-SUM($AL349:AP349)),2)))</f>
        <v>0.0</v>
      </c>
      <c r="N349" s="31">
        <f>AR349+MIN(X348+AH349-AR349,MAX(0,ROUND(ROUND(Долги!$D$19-SUM($AL349:$AU349),2)-(SUM($H349:M349)-SUM($AL349:AQ349)),2)))</f>
        <v>0.0</v>
      </c>
      <c r="O349" s="31">
        <f>AS349+MIN(Y348+AI349-AS349,MAX(0,ROUND(ROUND(Долги!$D$19-SUM($AL349:$AU349),2)-(SUM($H349:N349)-SUM($AL349:AR349)),2)))</f>
        <v>0.0</v>
      </c>
      <c r="P349" s="31">
        <f>AT349+MIN(Z348+AJ349-AT349,MAX(0,ROUND(ROUND(Долги!$D$19-SUM($AL349:$AU349),2)-(SUM($H349:O349)-SUM($AL349:AS349)),2)))</f>
        <v>0.0</v>
      </c>
      <c r="Q349" s="31">
        <f>AU349+MIN(AA348+AK349-AU349,MAX(0,ROUND(ROUND(Долги!$D$19-SUM($AL349:$AU349),2)-(SUM($H349:P349)-SUM($AL349:AT349)),2)))</f>
        <v>0.0</v>
      </c>
      <c r="R349" s="31">
        <f>IF(R348+AB349-H349&lt;=0.01,0,ROUND(R348+AB349-H349,2))</f>
        <v>0.0</v>
      </c>
      <c r="S349" s="31">
        <f>IF(S348+AC349-I349&lt;=0.01,0,ROUND(S348+AC349-I349,2))</f>
        <v>0.0</v>
      </c>
      <c r="T349" s="31">
        <f>IF(T348+AD349-J349&lt;=0.01,0,ROUND(T348+AD349-J349,2))</f>
        <v>0.0</v>
      </c>
      <c r="U349" s="31">
        <f>IF(U348+AE349-K349&lt;=0.01,0,ROUND(U348+AE349-K349,2))</f>
        <v>0.0</v>
      </c>
      <c r="V349" s="31">
        <f>IF(V348+AF349-L349&lt;=0.01,0,ROUND(V348+AF349-L349,2))</f>
        <v>0.0</v>
      </c>
      <c r="W349" s="31">
        <f>IF(W348+AG349-M349&lt;=0.01,0,ROUND(W348+AG349-M349,2))</f>
        <v>0.0</v>
      </c>
      <c r="X349" s="31">
        <f>IF(X348+AH349-N349&lt;=0.01,0,ROUND(X348+AH349-N349,2))</f>
        <v>0.0</v>
      </c>
      <c r="Y349" s="31">
        <f>IF(Y348+AI349-O349&lt;=0.01,0,ROUND(Y348+AI349-O349,2))</f>
        <v>0.0</v>
      </c>
      <c r="Z349" s="31">
        <f>IF(Z348+AJ349-P349&lt;=0.01,0,ROUND(Z348+AJ349-P349,2))</f>
        <v>0.0</v>
      </c>
      <c r="AA349" s="31">
        <f>IF(AA348+AK349-Q349&lt;=0.01,0,ROUND(AA348+AK349-Q349,2))</f>
        <v>0.0</v>
      </c>
      <c r="AB349" s="31">
        <f>ROUND(R348*AB$5/1200,2)</f>
        <v>0.0</v>
      </c>
      <c r="AC349" s="31">
        <f>ROUND(S348*AC$5/1200,2)</f>
        <v>0.0</v>
      </c>
      <c r="AD349" s="31">
        <f>ROUND(T348*AD$5/1200,2)</f>
        <v>0.0</v>
      </c>
      <c r="AE349" s="31">
        <f>ROUND(U348*AE$5/1200,2)</f>
        <v>0.0</v>
      </c>
      <c r="AF349" s="31">
        <f>ROUND(V348*AF$5/1200,2)</f>
        <v>0.0</v>
      </c>
      <c r="AG349" s="31">
        <f>ROUND(W348*AG$5/1200,2)</f>
        <v>0.0</v>
      </c>
      <c r="AH349" s="31">
        <f>ROUND(X348*AH$5/1200,2)</f>
        <v>0.0</v>
      </c>
      <c r="AI349" s="31">
        <f>ROUND(Y348*AI$5/1200,2)</f>
        <v>0.0</v>
      </c>
      <c r="AJ349" s="31">
        <f>ROUND(Z348*AJ$5/1200,2)</f>
        <v>0.0</v>
      </c>
      <c r="AK349" s="31">
        <f>ROUND(AA348*AK$5/1200,2)</f>
        <v>0.0</v>
      </c>
      <c r="AL349" s="31">
        <f>MIN(AL$5,R348+AB349)</f>
        <v>0.0</v>
      </c>
      <c r="AM349" s="31">
        <f>MIN(AM$5,S348+AC349)</f>
        <v>0.0</v>
      </c>
      <c r="AN349" s="31">
        <f>MIN(AN$5,T348+AD349)</f>
        <v>0.0</v>
      </c>
      <c r="AO349" s="31">
        <f>MIN(AO$5,U348+AE349)</f>
        <v>0.0</v>
      </c>
      <c r="AP349" s="31">
        <f>MIN(AP$5,V348+AF349)</f>
        <v>0.0</v>
      </c>
      <c r="AQ349" s="31">
        <f>MIN(AQ$5,W348+AG349)</f>
        <v>0.0</v>
      </c>
      <c r="AR349" s="31">
        <f>MIN(AR$5,X348+AH349)</f>
        <v>0.0</v>
      </c>
      <c r="AS349" s="31">
        <f>MIN(AS$5,Y348+AI349)</f>
        <v>0.0</v>
      </c>
      <c r="AT349" s="31">
        <f>MIN(AT$5,Z348+AJ349)</f>
        <v>0.0</v>
      </c>
      <c r="AU349" s="31">
        <f>MIN(AU$5,AA348+AK349)</f>
        <v>0.0</v>
      </c>
    </row>
    <row r="350">
      <c r="A350" s="25" t="str">
        <f>IF(F349&gt;0.005,345,"")</f>
        <v/>
      </c>
      <c r="B350" s="33" t="str">
        <f>IF(A350="","",EDATE(Долги!$D$5,344))</f>
        <v/>
      </c>
      <c r="C350" s="31">
        <f>SUM(H350:Q350)</f>
        <v>0.0</v>
      </c>
      <c r="D350" s="31">
        <f>SUM(AB350:AK350)</f>
        <v>0.0</v>
      </c>
      <c r="E350" s="31">
        <f>C350-D350</f>
        <v>0.0</v>
      </c>
      <c r="F350" s="31">
        <f>SUM(R350:AA350)</f>
        <v>0.0</v>
      </c>
      <c r="G350" s="34" t="str">
        <f>IF(OR(A350="",$F$5&lt;=0),"",REPT("█",ROUND(20*F350/$F$5,0)))</f>
        <v/>
      </c>
      <c r="H350" s="31">
        <f>AL350+MIN(R349+AB350-AL350,MAX(0,ROUND(Долги!$D$19-SUM($AL350:$AU350),2)))</f>
        <v>0.0</v>
      </c>
      <c r="I350" s="31">
        <f>AM350+MIN(S349+AC350-AM350,MAX(0,ROUND(ROUND(Долги!$D$19-SUM($AL350:$AU350),2)-(SUM($H350:H350)-SUM($AL350:AL350)),2)))</f>
        <v>0.0</v>
      </c>
      <c r="J350" s="31">
        <f>AN350+MIN(T349+AD350-AN350,MAX(0,ROUND(ROUND(Долги!$D$19-SUM($AL350:$AU350),2)-(SUM($H350:I350)-SUM($AL350:AM350)),2)))</f>
        <v>0.0</v>
      </c>
      <c r="K350" s="31">
        <f>AO350+MIN(U349+AE350-AO350,MAX(0,ROUND(ROUND(Долги!$D$19-SUM($AL350:$AU350),2)-(SUM($H350:J350)-SUM($AL350:AN350)),2)))</f>
        <v>0.0</v>
      </c>
      <c r="L350" s="31">
        <f>AP350+MIN(V349+AF350-AP350,MAX(0,ROUND(ROUND(Долги!$D$19-SUM($AL350:$AU350),2)-(SUM($H350:K350)-SUM($AL350:AO350)),2)))</f>
        <v>0.0</v>
      </c>
      <c r="M350" s="31">
        <f>AQ350+MIN(W349+AG350-AQ350,MAX(0,ROUND(ROUND(Долги!$D$19-SUM($AL350:$AU350),2)-(SUM($H350:L350)-SUM($AL350:AP350)),2)))</f>
        <v>0.0</v>
      </c>
      <c r="N350" s="31">
        <f>AR350+MIN(X349+AH350-AR350,MAX(0,ROUND(ROUND(Долги!$D$19-SUM($AL350:$AU350),2)-(SUM($H350:M350)-SUM($AL350:AQ350)),2)))</f>
        <v>0.0</v>
      </c>
      <c r="O350" s="31">
        <f>AS350+MIN(Y349+AI350-AS350,MAX(0,ROUND(ROUND(Долги!$D$19-SUM($AL350:$AU350),2)-(SUM($H350:N350)-SUM($AL350:AR350)),2)))</f>
        <v>0.0</v>
      </c>
      <c r="P350" s="31">
        <f>AT350+MIN(Z349+AJ350-AT350,MAX(0,ROUND(ROUND(Долги!$D$19-SUM($AL350:$AU350),2)-(SUM($H350:O350)-SUM($AL350:AS350)),2)))</f>
        <v>0.0</v>
      </c>
      <c r="Q350" s="31">
        <f>AU350+MIN(AA349+AK350-AU350,MAX(0,ROUND(ROUND(Долги!$D$19-SUM($AL350:$AU350),2)-(SUM($H350:P350)-SUM($AL350:AT350)),2)))</f>
        <v>0.0</v>
      </c>
      <c r="R350" s="31">
        <f>IF(R349+AB350-H350&lt;=0.01,0,ROUND(R349+AB350-H350,2))</f>
        <v>0.0</v>
      </c>
      <c r="S350" s="31">
        <f>IF(S349+AC350-I350&lt;=0.01,0,ROUND(S349+AC350-I350,2))</f>
        <v>0.0</v>
      </c>
      <c r="T350" s="31">
        <f>IF(T349+AD350-J350&lt;=0.01,0,ROUND(T349+AD350-J350,2))</f>
        <v>0.0</v>
      </c>
      <c r="U350" s="31">
        <f>IF(U349+AE350-K350&lt;=0.01,0,ROUND(U349+AE350-K350,2))</f>
        <v>0.0</v>
      </c>
      <c r="V350" s="31">
        <f>IF(V349+AF350-L350&lt;=0.01,0,ROUND(V349+AF350-L350,2))</f>
        <v>0.0</v>
      </c>
      <c r="W350" s="31">
        <f>IF(W349+AG350-M350&lt;=0.01,0,ROUND(W349+AG350-M350,2))</f>
        <v>0.0</v>
      </c>
      <c r="X350" s="31">
        <f>IF(X349+AH350-N350&lt;=0.01,0,ROUND(X349+AH350-N350,2))</f>
        <v>0.0</v>
      </c>
      <c r="Y350" s="31">
        <f>IF(Y349+AI350-O350&lt;=0.01,0,ROUND(Y349+AI350-O350,2))</f>
        <v>0.0</v>
      </c>
      <c r="Z350" s="31">
        <f>IF(Z349+AJ350-P350&lt;=0.01,0,ROUND(Z349+AJ350-P350,2))</f>
        <v>0.0</v>
      </c>
      <c r="AA350" s="31">
        <f>IF(AA349+AK350-Q350&lt;=0.01,0,ROUND(AA349+AK350-Q350,2))</f>
        <v>0.0</v>
      </c>
      <c r="AB350" s="31">
        <f>ROUND(R349*AB$5/1200,2)</f>
        <v>0.0</v>
      </c>
      <c r="AC350" s="31">
        <f>ROUND(S349*AC$5/1200,2)</f>
        <v>0.0</v>
      </c>
      <c r="AD350" s="31">
        <f>ROUND(T349*AD$5/1200,2)</f>
        <v>0.0</v>
      </c>
      <c r="AE350" s="31">
        <f>ROUND(U349*AE$5/1200,2)</f>
        <v>0.0</v>
      </c>
      <c r="AF350" s="31">
        <f>ROUND(V349*AF$5/1200,2)</f>
        <v>0.0</v>
      </c>
      <c r="AG350" s="31">
        <f>ROUND(W349*AG$5/1200,2)</f>
        <v>0.0</v>
      </c>
      <c r="AH350" s="31">
        <f>ROUND(X349*AH$5/1200,2)</f>
        <v>0.0</v>
      </c>
      <c r="AI350" s="31">
        <f>ROUND(Y349*AI$5/1200,2)</f>
        <v>0.0</v>
      </c>
      <c r="AJ350" s="31">
        <f>ROUND(Z349*AJ$5/1200,2)</f>
        <v>0.0</v>
      </c>
      <c r="AK350" s="31">
        <f>ROUND(AA349*AK$5/1200,2)</f>
        <v>0.0</v>
      </c>
      <c r="AL350" s="31">
        <f>MIN(AL$5,R349+AB350)</f>
        <v>0.0</v>
      </c>
      <c r="AM350" s="31">
        <f>MIN(AM$5,S349+AC350)</f>
        <v>0.0</v>
      </c>
      <c r="AN350" s="31">
        <f>MIN(AN$5,T349+AD350)</f>
        <v>0.0</v>
      </c>
      <c r="AO350" s="31">
        <f>MIN(AO$5,U349+AE350)</f>
        <v>0.0</v>
      </c>
      <c r="AP350" s="31">
        <f>MIN(AP$5,V349+AF350)</f>
        <v>0.0</v>
      </c>
      <c r="AQ350" s="31">
        <f>MIN(AQ$5,W349+AG350)</f>
        <v>0.0</v>
      </c>
      <c r="AR350" s="31">
        <f>MIN(AR$5,X349+AH350)</f>
        <v>0.0</v>
      </c>
      <c r="AS350" s="31">
        <f>MIN(AS$5,Y349+AI350)</f>
        <v>0.0</v>
      </c>
      <c r="AT350" s="31">
        <f>MIN(AT$5,Z349+AJ350)</f>
        <v>0.0</v>
      </c>
      <c r="AU350" s="31">
        <f>MIN(AU$5,AA349+AK350)</f>
        <v>0.0</v>
      </c>
    </row>
    <row r="351">
      <c r="A351" s="25" t="str">
        <f>IF(F350&gt;0.005,346,"")</f>
        <v/>
      </c>
      <c r="B351" s="33" t="str">
        <f>IF(A351="","",EDATE(Долги!$D$5,345))</f>
        <v/>
      </c>
      <c r="C351" s="31">
        <f>SUM(H351:Q351)</f>
        <v>0.0</v>
      </c>
      <c r="D351" s="31">
        <f>SUM(AB351:AK351)</f>
        <v>0.0</v>
      </c>
      <c r="E351" s="31">
        <f>C351-D351</f>
        <v>0.0</v>
      </c>
      <c r="F351" s="31">
        <f>SUM(R351:AA351)</f>
        <v>0.0</v>
      </c>
      <c r="G351" s="34" t="str">
        <f>IF(OR(A351="",$F$5&lt;=0),"",REPT("█",ROUND(20*F351/$F$5,0)))</f>
        <v/>
      </c>
      <c r="H351" s="31">
        <f>AL351+MIN(R350+AB351-AL351,MAX(0,ROUND(Долги!$D$19-SUM($AL351:$AU351),2)))</f>
        <v>0.0</v>
      </c>
      <c r="I351" s="31">
        <f>AM351+MIN(S350+AC351-AM351,MAX(0,ROUND(ROUND(Долги!$D$19-SUM($AL351:$AU351),2)-(SUM($H351:H351)-SUM($AL351:AL351)),2)))</f>
        <v>0.0</v>
      </c>
      <c r="J351" s="31">
        <f>AN351+MIN(T350+AD351-AN351,MAX(0,ROUND(ROUND(Долги!$D$19-SUM($AL351:$AU351),2)-(SUM($H351:I351)-SUM($AL351:AM351)),2)))</f>
        <v>0.0</v>
      </c>
      <c r="K351" s="31">
        <f>AO351+MIN(U350+AE351-AO351,MAX(0,ROUND(ROUND(Долги!$D$19-SUM($AL351:$AU351),2)-(SUM($H351:J351)-SUM($AL351:AN351)),2)))</f>
        <v>0.0</v>
      </c>
      <c r="L351" s="31">
        <f>AP351+MIN(V350+AF351-AP351,MAX(0,ROUND(ROUND(Долги!$D$19-SUM($AL351:$AU351),2)-(SUM($H351:K351)-SUM($AL351:AO351)),2)))</f>
        <v>0.0</v>
      </c>
      <c r="M351" s="31">
        <f>AQ351+MIN(W350+AG351-AQ351,MAX(0,ROUND(ROUND(Долги!$D$19-SUM($AL351:$AU351),2)-(SUM($H351:L351)-SUM($AL351:AP351)),2)))</f>
        <v>0.0</v>
      </c>
      <c r="N351" s="31">
        <f>AR351+MIN(X350+AH351-AR351,MAX(0,ROUND(ROUND(Долги!$D$19-SUM($AL351:$AU351),2)-(SUM($H351:M351)-SUM($AL351:AQ351)),2)))</f>
        <v>0.0</v>
      </c>
      <c r="O351" s="31">
        <f>AS351+MIN(Y350+AI351-AS351,MAX(0,ROUND(ROUND(Долги!$D$19-SUM($AL351:$AU351),2)-(SUM($H351:N351)-SUM($AL351:AR351)),2)))</f>
        <v>0.0</v>
      </c>
      <c r="P351" s="31">
        <f>AT351+MIN(Z350+AJ351-AT351,MAX(0,ROUND(ROUND(Долги!$D$19-SUM($AL351:$AU351),2)-(SUM($H351:O351)-SUM($AL351:AS351)),2)))</f>
        <v>0.0</v>
      </c>
      <c r="Q351" s="31">
        <f>AU351+MIN(AA350+AK351-AU351,MAX(0,ROUND(ROUND(Долги!$D$19-SUM($AL351:$AU351),2)-(SUM($H351:P351)-SUM($AL351:AT351)),2)))</f>
        <v>0.0</v>
      </c>
      <c r="R351" s="31">
        <f>IF(R350+AB351-H351&lt;=0.01,0,ROUND(R350+AB351-H351,2))</f>
        <v>0.0</v>
      </c>
      <c r="S351" s="31">
        <f>IF(S350+AC351-I351&lt;=0.01,0,ROUND(S350+AC351-I351,2))</f>
        <v>0.0</v>
      </c>
      <c r="T351" s="31">
        <f>IF(T350+AD351-J351&lt;=0.01,0,ROUND(T350+AD351-J351,2))</f>
        <v>0.0</v>
      </c>
      <c r="U351" s="31">
        <f>IF(U350+AE351-K351&lt;=0.01,0,ROUND(U350+AE351-K351,2))</f>
        <v>0.0</v>
      </c>
      <c r="V351" s="31">
        <f>IF(V350+AF351-L351&lt;=0.01,0,ROUND(V350+AF351-L351,2))</f>
        <v>0.0</v>
      </c>
      <c r="W351" s="31">
        <f>IF(W350+AG351-M351&lt;=0.01,0,ROUND(W350+AG351-M351,2))</f>
        <v>0.0</v>
      </c>
      <c r="X351" s="31">
        <f>IF(X350+AH351-N351&lt;=0.01,0,ROUND(X350+AH351-N351,2))</f>
        <v>0.0</v>
      </c>
      <c r="Y351" s="31">
        <f>IF(Y350+AI351-O351&lt;=0.01,0,ROUND(Y350+AI351-O351,2))</f>
        <v>0.0</v>
      </c>
      <c r="Z351" s="31">
        <f>IF(Z350+AJ351-P351&lt;=0.01,0,ROUND(Z350+AJ351-P351,2))</f>
        <v>0.0</v>
      </c>
      <c r="AA351" s="31">
        <f>IF(AA350+AK351-Q351&lt;=0.01,0,ROUND(AA350+AK351-Q351,2))</f>
        <v>0.0</v>
      </c>
      <c r="AB351" s="31">
        <f>ROUND(R350*AB$5/1200,2)</f>
        <v>0.0</v>
      </c>
      <c r="AC351" s="31">
        <f>ROUND(S350*AC$5/1200,2)</f>
        <v>0.0</v>
      </c>
      <c r="AD351" s="31">
        <f>ROUND(T350*AD$5/1200,2)</f>
        <v>0.0</v>
      </c>
      <c r="AE351" s="31">
        <f>ROUND(U350*AE$5/1200,2)</f>
        <v>0.0</v>
      </c>
      <c r="AF351" s="31">
        <f>ROUND(V350*AF$5/1200,2)</f>
        <v>0.0</v>
      </c>
      <c r="AG351" s="31">
        <f>ROUND(W350*AG$5/1200,2)</f>
        <v>0.0</v>
      </c>
      <c r="AH351" s="31">
        <f>ROUND(X350*AH$5/1200,2)</f>
        <v>0.0</v>
      </c>
      <c r="AI351" s="31">
        <f>ROUND(Y350*AI$5/1200,2)</f>
        <v>0.0</v>
      </c>
      <c r="AJ351" s="31">
        <f>ROUND(Z350*AJ$5/1200,2)</f>
        <v>0.0</v>
      </c>
      <c r="AK351" s="31">
        <f>ROUND(AA350*AK$5/1200,2)</f>
        <v>0.0</v>
      </c>
      <c r="AL351" s="31">
        <f>MIN(AL$5,R350+AB351)</f>
        <v>0.0</v>
      </c>
      <c r="AM351" s="31">
        <f>MIN(AM$5,S350+AC351)</f>
        <v>0.0</v>
      </c>
      <c r="AN351" s="31">
        <f>MIN(AN$5,T350+AD351)</f>
        <v>0.0</v>
      </c>
      <c r="AO351" s="31">
        <f>MIN(AO$5,U350+AE351)</f>
        <v>0.0</v>
      </c>
      <c r="AP351" s="31">
        <f>MIN(AP$5,V350+AF351)</f>
        <v>0.0</v>
      </c>
      <c r="AQ351" s="31">
        <f>MIN(AQ$5,W350+AG351)</f>
        <v>0.0</v>
      </c>
      <c r="AR351" s="31">
        <f>MIN(AR$5,X350+AH351)</f>
        <v>0.0</v>
      </c>
      <c r="AS351" s="31">
        <f>MIN(AS$5,Y350+AI351)</f>
        <v>0.0</v>
      </c>
      <c r="AT351" s="31">
        <f>MIN(AT$5,Z350+AJ351)</f>
        <v>0.0</v>
      </c>
      <c r="AU351" s="31">
        <f>MIN(AU$5,AA350+AK351)</f>
        <v>0.0</v>
      </c>
    </row>
    <row r="352">
      <c r="A352" s="25" t="str">
        <f>IF(F351&gt;0.005,347,"")</f>
        <v/>
      </c>
      <c r="B352" s="33" t="str">
        <f>IF(A352="","",EDATE(Долги!$D$5,346))</f>
        <v/>
      </c>
      <c r="C352" s="31">
        <f>SUM(H352:Q352)</f>
        <v>0.0</v>
      </c>
      <c r="D352" s="31">
        <f>SUM(AB352:AK352)</f>
        <v>0.0</v>
      </c>
      <c r="E352" s="31">
        <f>C352-D352</f>
        <v>0.0</v>
      </c>
      <c r="F352" s="31">
        <f>SUM(R352:AA352)</f>
        <v>0.0</v>
      </c>
      <c r="G352" s="34" t="str">
        <f>IF(OR(A352="",$F$5&lt;=0),"",REPT("█",ROUND(20*F352/$F$5,0)))</f>
        <v/>
      </c>
      <c r="H352" s="31">
        <f>AL352+MIN(R351+AB352-AL352,MAX(0,ROUND(Долги!$D$19-SUM($AL352:$AU352),2)))</f>
        <v>0.0</v>
      </c>
      <c r="I352" s="31">
        <f>AM352+MIN(S351+AC352-AM352,MAX(0,ROUND(ROUND(Долги!$D$19-SUM($AL352:$AU352),2)-(SUM($H352:H352)-SUM($AL352:AL352)),2)))</f>
        <v>0.0</v>
      </c>
      <c r="J352" s="31">
        <f>AN352+MIN(T351+AD352-AN352,MAX(0,ROUND(ROUND(Долги!$D$19-SUM($AL352:$AU352),2)-(SUM($H352:I352)-SUM($AL352:AM352)),2)))</f>
        <v>0.0</v>
      </c>
      <c r="K352" s="31">
        <f>AO352+MIN(U351+AE352-AO352,MAX(0,ROUND(ROUND(Долги!$D$19-SUM($AL352:$AU352),2)-(SUM($H352:J352)-SUM($AL352:AN352)),2)))</f>
        <v>0.0</v>
      </c>
      <c r="L352" s="31">
        <f>AP352+MIN(V351+AF352-AP352,MAX(0,ROUND(ROUND(Долги!$D$19-SUM($AL352:$AU352),2)-(SUM($H352:K352)-SUM($AL352:AO352)),2)))</f>
        <v>0.0</v>
      </c>
      <c r="M352" s="31">
        <f>AQ352+MIN(W351+AG352-AQ352,MAX(0,ROUND(ROUND(Долги!$D$19-SUM($AL352:$AU352),2)-(SUM($H352:L352)-SUM($AL352:AP352)),2)))</f>
        <v>0.0</v>
      </c>
      <c r="N352" s="31">
        <f>AR352+MIN(X351+AH352-AR352,MAX(0,ROUND(ROUND(Долги!$D$19-SUM($AL352:$AU352),2)-(SUM($H352:M352)-SUM($AL352:AQ352)),2)))</f>
        <v>0.0</v>
      </c>
      <c r="O352" s="31">
        <f>AS352+MIN(Y351+AI352-AS352,MAX(0,ROUND(ROUND(Долги!$D$19-SUM($AL352:$AU352),2)-(SUM($H352:N352)-SUM($AL352:AR352)),2)))</f>
        <v>0.0</v>
      </c>
      <c r="P352" s="31">
        <f>AT352+MIN(Z351+AJ352-AT352,MAX(0,ROUND(ROUND(Долги!$D$19-SUM($AL352:$AU352),2)-(SUM($H352:O352)-SUM($AL352:AS352)),2)))</f>
        <v>0.0</v>
      </c>
      <c r="Q352" s="31">
        <f>AU352+MIN(AA351+AK352-AU352,MAX(0,ROUND(ROUND(Долги!$D$19-SUM($AL352:$AU352),2)-(SUM($H352:P352)-SUM($AL352:AT352)),2)))</f>
        <v>0.0</v>
      </c>
      <c r="R352" s="31">
        <f>IF(R351+AB352-H352&lt;=0.01,0,ROUND(R351+AB352-H352,2))</f>
        <v>0.0</v>
      </c>
      <c r="S352" s="31">
        <f>IF(S351+AC352-I352&lt;=0.01,0,ROUND(S351+AC352-I352,2))</f>
        <v>0.0</v>
      </c>
      <c r="T352" s="31">
        <f>IF(T351+AD352-J352&lt;=0.01,0,ROUND(T351+AD352-J352,2))</f>
        <v>0.0</v>
      </c>
      <c r="U352" s="31">
        <f>IF(U351+AE352-K352&lt;=0.01,0,ROUND(U351+AE352-K352,2))</f>
        <v>0.0</v>
      </c>
      <c r="V352" s="31">
        <f>IF(V351+AF352-L352&lt;=0.01,0,ROUND(V351+AF352-L352,2))</f>
        <v>0.0</v>
      </c>
      <c r="W352" s="31">
        <f>IF(W351+AG352-M352&lt;=0.01,0,ROUND(W351+AG352-M352,2))</f>
        <v>0.0</v>
      </c>
      <c r="X352" s="31">
        <f>IF(X351+AH352-N352&lt;=0.01,0,ROUND(X351+AH352-N352,2))</f>
        <v>0.0</v>
      </c>
      <c r="Y352" s="31">
        <f>IF(Y351+AI352-O352&lt;=0.01,0,ROUND(Y351+AI352-O352,2))</f>
        <v>0.0</v>
      </c>
      <c r="Z352" s="31">
        <f>IF(Z351+AJ352-P352&lt;=0.01,0,ROUND(Z351+AJ352-P352,2))</f>
        <v>0.0</v>
      </c>
      <c r="AA352" s="31">
        <f>IF(AA351+AK352-Q352&lt;=0.01,0,ROUND(AA351+AK352-Q352,2))</f>
        <v>0.0</v>
      </c>
      <c r="AB352" s="31">
        <f>ROUND(R351*AB$5/1200,2)</f>
        <v>0.0</v>
      </c>
      <c r="AC352" s="31">
        <f>ROUND(S351*AC$5/1200,2)</f>
        <v>0.0</v>
      </c>
      <c r="AD352" s="31">
        <f>ROUND(T351*AD$5/1200,2)</f>
        <v>0.0</v>
      </c>
      <c r="AE352" s="31">
        <f>ROUND(U351*AE$5/1200,2)</f>
        <v>0.0</v>
      </c>
      <c r="AF352" s="31">
        <f>ROUND(V351*AF$5/1200,2)</f>
        <v>0.0</v>
      </c>
      <c r="AG352" s="31">
        <f>ROUND(W351*AG$5/1200,2)</f>
        <v>0.0</v>
      </c>
      <c r="AH352" s="31">
        <f>ROUND(X351*AH$5/1200,2)</f>
        <v>0.0</v>
      </c>
      <c r="AI352" s="31">
        <f>ROUND(Y351*AI$5/1200,2)</f>
        <v>0.0</v>
      </c>
      <c r="AJ352" s="31">
        <f>ROUND(Z351*AJ$5/1200,2)</f>
        <v>0.0</v>
      </c>
      <c r="AK352" s="31">
        <f>ROUND(AA351*AK$5/1200,2)</f>
        <v>0.0</v>
      </c>
      <c r="AL352" s="31">
        <f>MIN(AL$5,R351+AB352)</f>
        <v>0.0</v>
      </c>
      <c r="AM352" s="31">
        <f>MIN(AM$5,S351+AC352)</f>
        <v>0.0</v>
      </c>
      <c r="AN352" s="31">
        <f>MIN(AN$5,T351+AD352)</f>
        <v>0.0</v>
      </c>
      <c r="AO352" s="31">
        <f>MIN(AO$5,U351+AE352)</f>
        <v>0.0</v>
      </c>
      <c r="AP352" s="31">
        <f>MIN(AP$5,V351+AF352)</f>
        <v>0.0</v>
      </c>
      <c r="AQ352" s="31">
        <f>MIN(AQ$5,W351+AG352)</f>
        <v>0.0</v>
      </c>
      <c r="AR352" s="31">
        <f>MIN(AR$5,X351+AH352)</f>
        <v>0.0</v>
      </c>
      <c r="AS352" s="31">
        <f>MIN(AS$5,Y351+AI352)</f>
        <v>0.0</v>
      </c>
      <c r="AT352" s="31">
        <f>MIN(AT$5,Z351+AJ352)</f>
        <v>0.0</v>
      </c>
      <c r="AU352" s="31">
        <f>MIN(AU$5,AA351+AK352)</f>
        <v>0.0</v>
      </c>
    </row>
    <row r="353">
      <c r="A353" s="25" t="str">
        <f>IF(F352&gt;0.005,348,"")</f>
        <v/>
      </c>
      <c r="B353" s="33" t="str">
        <f>IF(A353="","",EDATE(Долги!$D$5,347))</f>
        <v/>
      </c>
      <c r="C353" s="31">
        <f>SUM(H353:Q353)</f>
        <v>0.0</v>
      </c>
      <c r="D353" s="31">
        <f>SUM(AB353:AK353)</f>
        <v>0.0</v>
      </c>
      <c r="E353" s="31">
        <f>C353-D353</f>
        <v>0.0</v>
      </c>
      <c r="F353" s="31">
        <f>SUM(R353:AA353)</f>
        <v>0.0</v>
      </c>
      <c r="G353" s="34" t="str">
        <f>IF(OR(A353="",$F$5&lt;=0),"",REPT("█",ROUND(20*F353/$F$5,0)))</f>
        <v/>
      </c>
      <c r="H353" s="31">
        <f>AL353+MIN(R352+AB353-AL353,MAX(0,ROUND(Долги!$D$19-SUM($AL353:$AU353),2)))</f>
        <v>0.0</v>
      </c>
      <c r="I353" s="31">
        <f>AM353+MIN(S352+AC353-AM353,MAX(0,ROUND(ROUND(Долги!$D$19-SUM($AL353:$AU353),2)-(SUM($H353:H353)-SUM($AL353:AL353)),2)))</f>
        <v>0.0</v>
      </c>
      <c r="J353" s="31">
        <f>AN353+MIN(T352+AD353-AN353,MAX(0,ROUND(ROUND(Долги!$D$19-SUM($AL353:$AU353),2)-(SUM($H353:I353)-SUM($AL353:AM353)),2)))</f>
        <v>0.0</v>
      </c>
      <c r="K353" s="31">
        <f>AO353+MIN(U352+AE353-AO353,MAX(0,ROUND(ROUND(Долги!$D$19-SUM($AL353:$AU353),2)-(SUM($H353:J353)-SUM($AL353:AN353)),2)))</f>
        <v>0.0</v>
      </c>
      <c r="L353" s="31">
        <f>AP353+MIN(V352+AF353-AP353,MAX(0,ROUND(ROUND(Долги!$D$19-SUM($AL353:$AU353),2)-(SUM($H353:K353)-SUM($AL353:AO353)),2)))</f>
        <v>0.0</v>
      </c>
      <c r="M353" s="31">
        <f>AQ353+MIN(W352+AG353-AQ353,MAX(0,ROUND(ROUND(Долги!$D$19-SUM($AL353:$AU353),2)-(SUM($H353:L353)-SUM($AL353:AP353)),2)))</f>
        <v>0.0</v>
      </c>
      <c r="N353" s="31">
        <f>AR353+MIN(X352+AH353-AR353,MAX(0,ROUND(ROUND(Долги!$D$19-SUM($AL353:$AU353),2)-(SUM($H353:M353)-SUM($AL353:AQ353)),2)))</f>
        <v>0.0</v>
      </c>
      <c r="O353" s="31">
        <f>AS353+MIN(Y352+AI353-AS353,MAX(0,ROUND(ROUND(Долги!$D$19-SUM($AL353:$AU353),2)-(SUM($H353:N353)-SUM($AL353:AR353)),2)))</f>
        <v>0.0</v>
      </c>
      <c r="P353" s="31">
        <f>AT353+MIN(Z352+AJ353-AT353,MAX(0,ROUND(ROUND(Долги!$D$19-SUM($AL353:$AU353),2)-(SUM($H353:O353)-SUM($AL353:AS353)),2)))</f>
        <v>0.0</v>
      </c>
      <c r="Q353" s="31">
        <f>AU353+MIN(AA352+AK353-AU353,MAX(0,ROUND(ROUND(Долги!$D$19-SUM($AL353:$AU353),2)-(SUM($H353:P353)-SUM($AL353:AT353)),2)))</f>
        <v>0.0</v>
      </c>
      <c r="R353" s="31">
        <f>IF(R352+AB353-H353&lt;=0.01,0,ROUND(R352+AB353-H353,2))</f>
        <v>0.0</v>
      </c>
      <c r="S353" s="31">
        <f>IF(S352+AC353-I353&lt;=0.01,0,ROUND(S352+AC353-I353,2))</f>
        <v>0.0</v>
      </c>
      <c r="T353" s="31">
        <f>IF(T352+AD353-J353&lt;=0.01,0,ROUND(T352+AD353-J353,2))</f>
        <v>0.0</v>
      </c>
      <c r="U353" s="31">
        <f>IF(U352+AE353-K353&lt;=0.01,0,ROUND(U352+AE353-K353,2))</f>
        <v>0.0</v>
      </c>
      <c r="V353" s="31">
        <f>IF(V352+AF353-L353&lt;=0.01,0,ROUND(V352+AF353-L353,2))</f>
        <v>0.0</v>
      </c>
      <c r="W353" s="31">
        <f>IF(W352+AG353-M353&lt;=0.01,0,ROUND(W352+AG353-M353,2))</f>
        <v>0.0</v>
      </c>
      <c r="X353" s="31">
        <f>IF(X352+AH353-N353&lt;=0.01,0,ROUND(X352+AH353-N353,2))</f>
        <v>0.0</v>
      </c>
      <c r="Y353" s="31">
        <f>IF(Y352+AI353-O353&lt;=0.01,0,ROUND(Y352+AI353-O353,2))</f>
        <v>0.0</v>
      </c>
      <c r="Z353" s="31">
        <f>IF(Z352+AJ353-P353&lt;=0.01,0,ROUND(Z352+AJ353-P353,2))</f>
        <v>0.0</v>
      </c>
      <c r="AA353" s="31">
        <f>IF(AA352+AK353-Q353&lt;=0.01,0,ROUND(AA352+AK353-Q353,2))</f>
        <v>0.0</v>
      </c>
      <c r="AB353" s="31">
        <f>ROUND(R352*AB$5/1200,2)</f>
        <v>0.0</v>
      </c>
      <c r="AC353" s="31">
        <f>ROUND(S352*AC$5/1200,2)</f>
        <v>0.0</v>
      </c>
      <c r="AD353" s="31">
        <f>ROUND(T352*AD$5/1200,2)</f>
        <v>0.0</v>
      </c>
      <c r="AE353" s="31">
        <f>ROUND(U352*AE$5/1200,2)</f>
        <v>0.0</v>
      </c>
      <c r="AF353" s="31">
        <f>ROUND(V352*AF$5/1200,2)</f>
        <v>0.0</v>
      </c>
      <c r="AG353" s="31">
        <f>ROUND(W352*AG$5/1200,2)</f>
        <v>0.0</v>
      </c>
      <c r="AH353" s="31">
        <f>ROUND(X352*AH$5/1200,2)</f>
        <v>0.0</v>
      </c>
      <c r="AI353" s="31">
        <f>ROUND(Y352*AI$5/1200,2)</f>
        <v>0.0</v>
      </c>
      <c r="AJ353" s="31">
        <f>ROUND(Z352*AJ$5/1200,2)</f>
        <v>0.0</v>
      </c>
      <c r="AK353" s="31">
        <f>ROUND(AA352*AK$5/1200,2)</f>
        <v>0.0</v>
      </c>
      <c r="AL353" s="31">
        <f>MIN(AL$5,R352+AB353)</f>
        <v>0.0</v>
      </c>
      <c r="AM353" s="31">
        <f>MIN(AM$5,S352+AC353)</f>
        <v>0.0</v>
      </c>
      <c r="AN353" s="31">
        <f>MIN(AN$5,T352+AD353)</f>
        <v>0.0</v>
      </c>
      <c r="AO353" s="31">
        <f>MIN(AO$5,U352+AE353)</f>
        <v>0.0</v>
      </c>
      <c r="AP353" s="31">
        <f>MIN(AP$5,V352+AF353)</f>
        <v>0.0</v>
      </c>
      <c r="AQ353" s="31">
        <f>MIN(AQ$5,W352+AG353)</f>
        <v>0.0</v>
      </c>
      <c r="AR353" s="31">
        <f>MIN(AR$5,X352+AH353)</f>
        <v>0.0</v>
      </c>
      <c r="AS353" s="31">
        <f>MIN(AS$5,Y352+AI353)</f>
        <v>0.0</v>
      </c>
      <c r="AT353" s="31">
        <f>MIN(AT$5,Z352+AJ353)</f>
        <v>0.0</v>
      </c>
      <c r="AU353" s="31">
        <f>MIN(AU$5,AA352+AK353)</f>
        <v>0.0</v>
      </c>
    </row>
    <row r="354">
      <c r="A354" s="25" t="str">
        <f>IF(F353&gt;0.005,349,"")</f>
        <v/>
      </c>
      <c r="B354" s="33" t="str">
        <f>IF(A354="","",EDATE(Долги!$D$5,348))</f>
        <v/>
      </c>
      <c r="C354" s="31">
        <f>SUM(H354:Q354)</f>
        <v>0.0</v>
      </c>
      <c r="D354" s="31">
        <f>SUM(AB354:AK354)</f>
        <v>0.0</v>
      </c>
      <c r="E354" s="31">
        <f>C354-D354</f>
        <v>0.0</v>
      </c>
      <c r="F354" s="31">
        <f>SUM(R354:AA354)</f>
        <v>0.0</v>
      </c>
      <c r="G354" s="34" t="str">
        <f>IF(OR(A354="",$F$5&lt;=0),"",REPT("█",ROUND(20*F354/$F$5,0)))</f>
        <v/>
      </c>
      <c r="H354" s="31">
        <f>AL354+MIN(R353+AB354-AL354,MAX(0,ROUND(Долги!$D$19-SUM($AL354:$AU354),2)))</f>
        <v>0.0</v>
      </c>
      <c r="I354" s="31">
        <f>AM354+MIN(S353+AC354-AM354,MAX(0,ROUND(ROUND(Долги!$D$19-SUM($AL354:$AU354),2)-(SUM($H354:H354)-SUM($AL354:AL354)),2)))</f>
        <v>0.0</v>
      </c>
      <c r="J354" s="31">
        <f>AN354+MIN(T353+AD354-AN354,MAX(0,ROUND(ROUND(Долги!$D$19-SUM($AL354:$AU354),2)-(SUM($H354:I354)-SUM($AL354:AM354)),2)))</f>
        <v>0.0</v>
      </c>
      <c r="K354" s="31">
        <f>AO354+MIN(U353+AE354-AO354,MAX(0,ROUND(ROUND(Долги!$D$19-SUM($AL354:$AU354),2)-(SUM($H354:J354)-SUM($AL354:AN354)),2)))</f>
        <v>0.0</v>
      </c>
      <c r="L354" s="31">
        <f>AP354+MIN(V353+AF354-AP354,MAX(0,ROUND(ROUND(Долги!$D$19-SUM($AL354:$AU354),2)-(SUM($H354:K354)-SUM($AL354:AO354)),2)))</f>
        <v>0.0</v>
      </c>
      <c r="M354" s="31">
        <f>AQ354+MIN(W353+AG354-AQ354,MAX(0,ROUND(ROUND(Долги!$D$19-SUM($AL354:$AU354),2)-(SUM($H354:L354)-SUM($AL354:AP354)),2)))</f>
        <v>0.0</v>
      </c>
      <c r="N354" s="31">
        <f>AR354+MIN(X353+AH354-AR354,MAX(0,ROUND(ROUND(Долги!$D$19-SUM($AL354:$AU354),2)-(SUM($H354:M354)-SUM($AL354:AQ354)),2)))</f>
        <v>0.0</v>
      </c>
      <c r="O354" s="31">
        <f>AS354+MIN(Y353+AI354-AS354,MAX(0,ROUND(ROUND(Долги!$D$19-SUM($AL354:$AU354),2)-(SUM($H354:N354)-SUM($AL354:AR354)),2)))</f>
        <v>0.0</v>
      </c>
      <c r="P354" s="31">
        <f>AT354+MIN(Z353+AJ354-AT354,MAX(0,ROUND(ROUND(Долги!$D$19-SUM($AL354:$AU354),2)-(SUM($H354:O354)-SUM($AL354:AS354)),2)))</f>
        <v>0.0</v>
      </c>
      <c r="Q354" s="31">
        <f>AU354+MIN(AA353+AK354-AU354,MAX(0,ROUND(ROUND(Долги!$D$19-SUM($AL354:$AU354),2)-(SUM($H354:P354)-SUM($AL354:AT354)),2)))</f>
        <v>0.0</v>
      </c>
      <c r="R354" s="31">
        <f>IF(R353+AB354-H354&lt;=0.01,0,ROUND(R353+AB354-H354,2))</f>
        <v>0.0</v>
      </c>
      <c r="S354" s="31">
        <f>IF(S353+AC354-I354&lt;=0.01,0,ROUND(S353+AC354-I354,2))</f>
        <v>0.0</v>
      </c>
      <c r="T354" s="31">
        <f>IF(T353+AD354-J354&lt;=0.01,0,ROUND(T353+AD354-J354,2))</f>
        <v>0.0</v>
      </c>
      <c r="U354" s="31">
        <f>IF(U353+AE354-K354&lt;=0.01,0,ROUND(U353+AE354-K354,2))</f>
        <v>0.0</v>
      </c>
      <c r="V354" s="31">
        <f>IF(V353+AF354-L354&lt;=0.01,0,ROUND(V353+AF354-L354,2))</f>
        <v>0.0</v>
      </c>
      <c r="W354" s="31">
        <f>IF(W353+AG354-M354&lt;=0.01,0,ROUND(W353+AG354-M354,2))</f>
        <v>0.0</v>
      </c>
      <c r="X354" s="31">
        <f>IF(X353+AH354-N354&lt;=0.01,0,ROUND(X353+AH354-N354,2))</f>
        <v>0.0</v>
      </c>
      <c r="Y354" s="31">
        <f>IF(Y353+AI354-O354&lt;=0.01,0,ROUND(Y353+AI354-O354,2))</f>
        <v>0.0</v>
      </c>
      <c r="Z354" s="31">
        <f>IF(Z353+AJ354-P354&lt;=0.01,0,ROUND(Z353+AJ354-P354,2))</f>
        <v>0.0</v>
      </c>
      <c r="AA354" s="31">
        <f>IF(AA353+AK354-Q354&lt;=0.01,0,ROUND(AA353+AK354-Q354,2))</f>
        <v>0.0</v>
      </c>
      <c r="AB354" s="31">
        <f>ROUND(R353*AB$5/1200,2)</f>
        <v>0.0</v>
      </c>
      <c r="AC354" s="31">
        <f>ROUND(S353*AC$5/1200,2)</f>
        <v>0.0</v>
      </c>
      <c r="AD354" s="31">
        <f>ROUND(T353*AD$5/1200,2)</f>
        <v>0.0</v>
      </c>
      <c r="AE354" s="31">
        <f>ROUND(U353*AE$5/1200,2)</f>
        <v>0.0</v>
      </c>
      <c r="AF354" s="31">
        <f>ROUND(V353*AF$5/1200,2)</f>
        <v>0.0</v>
      </c>
      <c r="AG354" s="31">
        <f>ROUND(W353*AG$5/1200,2)</f>
        <v>0.0</v>
      </c>
      <c r="AH354" s="31">
        <f>ROUND(X353*AH$5/1200,2)</f>
        <v>0.0</v>
      </c>
      <c r="AI354" s="31">
        <f>ROUND(Y353*AI$5/1200,2)</f>
        <v>0.0</v>
      </c>
      <c r="AJ354" s="31">
        <f>ROUND(Z353*AJ$5/1200,2)</f>
        <v>0.0</v>
      </c>
      <c r="AK354" s="31">
        <f>ROUND(AA353*AK$5/1200,2)</f>
        <v>0.0</v>
      </c>
      <c r="AL354" s="31">
        <f>MIN(AL$5,R353+AB354)</f>
        <v>0.0</v>
      </c>
      <c r="AM354" s="31">
        <f>MIN(AM$5,S353+AC354)</f>
        <v>0.0</v>
      </c>
      <c r="AN354" s="31">
        <f>MIN(AN$5,T353+AD354)</f>
        <v>0.0</v>
      </c>
      <c r="AO354" s="31">
        <f>MIN(AO$5,U353+AE354)</f>
        <v>0.0</v>
      </c>
      <c r="AP354" s="31">
        <f>MIN(AP$5,V353+AF354)</f>
        <v>0.0</v>
      </c>
      <c r="AQ354" s="31">
        <f>MIN(AQ$5,W353+AG354)</f>
        <v>0.0</v>
      </c>
      <c r="AR354" s="31">
        <f>MIN(AR$5,X353+AH354)</f>
        <v>0.0</v>
      </c>
      <c r="AS354" s="31">
        <f>MIN(AS$5,Y353+AI354)</f>
        <v>0.0</v>
      </c>
      <c r="AT354" s="31">
        <f>MIN(AT$5,Z353+AJ354)</f>
        <v>0.0</v>
      </c>
      <c r="AU354" s="31">
        <f>MIN(AU$5,AA353+AK354)</f>
        <v>0.0</v>
      </c>
    </row>
    <row r="355">
      <c r="A355" s="25" t="str">
        <f>IF(F354&gt;0.005,350,"")</f>
        <v/>
      </c>
      <c r="B355" s="33" t="str">
        <f>IF(A355="","",EDATE(Долги!$D$5,349))</f>
        <v/>
      </c>
      <c r="C355" s="31">
        <f>SUM(H355:Q355)</f>
        <v>0.0</v>
      </c>
      <c r="D355" s="31">
        <f>SUM(AB355:AK355)</f>
        <v>0.0</v>
      </c>
      <c r="E355" s="31">
        <f>C355-D355</f>
        <v>0.0</v>
      </c>
      <c r="F355" s="31">
        <f>SUM(R355:AA355)</f>
        <v>0.0</v>
      </c>
      <c r="G355" s="34" t="str">
        <f>IF(OR(A355="",$F$5&lt;=0),"",REPT("█",ROUND(20*F355/$F$5,0)))</f>
        <v/>
      </c>
      <c r="H355" s="31">
        <f>AL355+MIN(R354+AB355-AL355,MAX(0,ROUND(Долги!$D$19-SUM($AL355:$AU355),2)))</f>
        <v>0.0</v>
      </c>
      <c r="I355" s="31">
        <f>AM355+MIN(S354+AC355-AM355,MAX(0,ROUND(ROUND(Долги!$D$19-SUM($AL355:$AU355),2)-(SUM($H355:H355)-SUM($AL355:AL355)),2)))</f>
        <v>0.0</v>
      </c>
      <c r="J355" s="31">
        <f>AN355+MIN(T354+AD355-AN355,MAX(0,ROUND(ROUND(Долги!$D$19-SUM($AL355:$AU355),2)-(SUM($H355:I355)-SUM($AL355:AM355)),2)))</f>
        <v>0.0</v>
      </c>
      <c r="K355" s="31">
        <f>AO355+MIN(U354+AE355-AO355,MAX(0,ROUND(ROUND(Долги!$D$19-SUM($AL355:$AU355),2)-(SUM($H355:J355)-SUM($AL355:AN355)),2)))</f>
        <v>0.0</v>
      </c>
      <c r="L355" s="31">
        <f>AP355+MIN(V354+AF355-AP355,MAX(0,ROUND(ROUND(Долги!$D$19-SUM($AL355:$AU355),2)-(SUM($H355:K355)-SUM($AL355:AO355)),2)))</f>
        <v>0.0</v>
      </c>
      <c r="M355" s="31">
        <f>AQ355+MIN(W354+AG355-AQ355,MAX(0,ROUND(ROUND(Долги!$D$19-SUM($AL355:$AU355),2)-(SUM($H355:L355)-SUM($AL355:AP355)),2)))</f>
        <v>0.0</v>
      </c>
      <c r="N355" s="31">
        <f>AR355+MIN(X354+AH355-AR355,MAX(0,ROUND(ROUND(Долги!$D$19-SUM($AL355:$AU355),2)-(SUM($H355:M355)-SUM($AL355:AQ355)),2)))</f>
        <v>0.0</v>
      </c>
      <c r="O355" s="31">
        <f>AS355+MIN(Y354+AI355-AS355,MAX(0,ROUND(ROUND(Долги!$D$19-SUM($AL355:$AU355),2)-(SUM($H355:N355)-SUM($AL355:AR355)),2)))</f>
        <v>0.0</v>
      </c>
      <c r="P355" s="31">
        <f>AT355+MIN(Z354+AJ355-AT355,MAX(0,ROUND(ROUND(Долги!$D$19-SUM($AL355:$AU355),2)-(SUM($H355:O355)-SUM($AL355:AS355)),2)))</f>
        <v>0.0</v>
      </c>
      <c r="Q355" s="31">
        <f>AU355+MIN(AA354+AK355-AU355,MAX(0,ROUND(ROUND(Долги!$D$19-SUM($AL355:$AU355),2)-(SUM($H355:P355)-SUM($AL355:AT355)),2)))</f>
        <v>0.0</v>
      </c>
      <c r="R355" s="31">
        <f>IF(R354+AB355-H355&lt;=0.01,0,ROUND(R354+AB355-H355,2))</f>
        <v>0.0</v>
      </c>
      <c r="S355" s="31">
        <f>IF(S354+AC355-I355&lt;=0.01,0,ROUND(S354+AC355-I355,2))</f>
        <v>0.0</v>
      </c>
      <c r="T355" s="31">
        <f>IF(T354+AD355-J355&lt;=0.01,0,ROUND(T354+AD355-J355,2))</f>
        <v>0.0</v>
      </c>
      <c r="U355" s="31">
        <f>IF(U354+AE355-K355&lt;=0.01,0,ROUND(U354+AE355-K355,2))</f>
        <v>0.0</v>
      </c>
      <c r="V355" s="31">
        <f>IF(V354+AF355-L355&lt;=0.01,0,ROUND(V354+AF355-L355,2))</f>
        <v>0.0</v>
      </c>
      <c r="W355" s="31">
        <f>IF(W354+AG355-M355&lt;=0.01,0,ROUND(W354+AG355-M355,2))</f>
        <v>0.0</v>
      </c>
      <c r="X355" s="31">
        <f>IF(X354+AH355-N355&lt;=0.01,0,ROUND(X354+AH355-N355,2))</f>
        <v>0.0</v>
      </c>
      <c r="Y355" s="31">
        <f>IF(Y354+AI355-O355&lt;=0.01,0,ROUND(Y354+AI355-O355,2))</f>
        <v>0.0</v>
      </c>
      <c r="Z355" s="31">
        <f>IF(Z354+AJ355-P355&lt;=0.01,0,ROUND(Z354+AJ355-P355,2))</f>
        <v>0.0</v>
      </c>
      <c r="AA355" s="31">
        <f>IF(AA354+AK355-Q355&lt;=0.01,0,ROUND(AA354+AK355-Q355,2))</f>
        <v>0.0</v>
      </c>
      <c r="AB355" s="31">
        <f>ROUND(R354*AB$5/1200,2)</f>
        <v>0.0</v>
      </c>
      <c r="AC355" s="31">
        <f>ROUND(S354*AC$5/1200,2)</f>
        <v>0.0</v>
      </c>
      <c r="AD355" s="31">
        <f>ROUND(T354*AD$5/1200,2)</f>
        <v>0.0</v>
      </c>
      <c r="AE355" s="31">
        <f>ROUND(U354*AE$5/1200,2)</f>
        <v>0.0</v>
      </c>
      <c r="AF355" s="31">
        <f>ROUND(V354*AF$5/1200,2)</f>
        <v>0.0</v>
      </c>
      <c r="AG355" s="31">
        <f>ROUND(W354*AG$5/1200,2)</f>
        <v>0.0</v>
      </c>
      <c r="AH355" s="31">
        <f>ROUND(X354*AH$5/1200,2)</f>
        <v>0.0</v>
      </c>
      <c r="AI355" s="31">
        <f>ROUND(Y354*AI$5/1200,2)</f>
        <v>0.0</v>
      </c>
      <c r="AJ355" s="31">
        <f>ROUND(Z354*AJ$5/1200,2)</f>
        <v>0.0</v>
      </c>
      <c r="AK355" s="31">
        <f>ROUND(AA354*AK$5/1200,2)</f>
        <v>0.0</v>
      </c>
      <c r="AL355" s="31">
        <f>MIN(AL$5,R354+AB355)</f>
        <v>0.0</v>
      </c>
      <c r="AM355" s="31">
        <f>MIN(AM$5,S354+AC355)</f>
        <v>0.0</v>
      </c>
      <c r="AN355" s="31">
        <f>MIN(AN$5,T354+AD355)</f>
        <v>0.0</v>
      </c>
      <c r="AO355" s="31">
        <f>MIN(AO$5,U354+AE355)</f>
        <v>0.0</v>
      </c>
      <c r="AP355" s="31">
        <f>MIN(AP$5,V354+AF355)</f>
        <v>0.0</v>
      </c>
      <c r="AQ355" s="31">
        <f>MIN(AQ$5,W354+AG355)</f>
        <v>0.0</v>
      </c>
      <c r="AR355" s="31">
        <f>MIN(AR$5,X354+AH355)</f>
        <v>0.0</v>
      </c>
      <c r="AS355" s="31">
        <f>MIN(AS$5,Y354+AI355)</f>
        <v>0.0</v>
      </c>
      <c r="AT355" s="31">
        <f>MIN(AT$5,Z354+AJ355)</f>
        <v>0.0</v>
      </c>
      <c r="AU355" s="31">
        <f>MIN(AU$5,AA354+AK355)</f>
        <v>0.0</v>
      </c>
    </row>
    <row r="356">
      <c r="A356" s="25" t="str">
        <f>IF(F355&gt;0.005,351,"")</f>
        <v/>
      </c>
      <c r="B356" s="33" t="str">
        <f>IF(A356="","",EDATE(Долги!$D$5,350))</f>
        <v/>
      </c>
      <c r="C356" s="31">
        <f>SUM(H356:Q356)</f>
        <v>0.0</v>
      </c>
      <c r="D356" s="31">
        <f>SUM(AB356:AK356)</f>
        <v>0.0</v>
      </c>
      <c r="E356" s="31">
        <f>C356-D356</f>
        <v>0.0</v>
      </c>
      <c r="F356" s="31">
        <f>SUM(R356:AA356)</f>
        <v>0.0</v>
      </c>
      <c r="G356" s="34" t="str">
        <f>IF(OR(A356="",$F$5&lt;=0),"",REPT("█",ROUND(20*F356/$F$5,0)))</f>
        <v/>
      </c>
      <c r="H356" s="31">
        <f>AL356+MIN(R355+AB356-AL356,MAX(0,ROUND(Долги!$D$19-SUM($AL356:$AU356),2)))</f>
        <v>0.0</v>
      </c>
      <c r="I356" s="31">
        <f>AM356+MIN(S355+AC356-AM356,MAX(0,ROUND(ROUND(Долги!$D$19-SUM($AL356:$AU356),2)-(SUM($H356:H356)-SUM($AL356:AL356)),2)))</f>
        <v>0.0</v>
      </c>
      <c r="J356" s="31">
        <f>AN356+MIN(T355+AD356-AN356,MAX(0,ROUND(ROUND(Долги!$D$19-SUM($AL356:$AU356),2)-(SUM($H356:I356)-SUM($AL356:AM356)),2)))</f>
        <v>0.0</v>
      </c>
      <c r="K356" s="31">
        <f>AO356+MIN(U355+AE356-AO356,MAX(0,ROUND(ROUND(Долги!$D$19-SUM($AL356:$AU356),2)-(SUM($H356:J356)-SUM($AL356:AN356)),2)))</f>
        <v>0.0</v>
      </c>
      <c r="L356" s="31">
        <f>AP356+MIN(V355+AF356-AP356,MAX(0,ROUND(ROUND(Долги!$D$19-SUM($AL356:$AU356),2)-(SUM($H356:K356)-SUM($AL356:AO356)),2)))</f>
        <v>0.0</v>
      </c>
      <c r="M356" s="31">
        <f>AQ356+MIN(W355+AG356-AQ356,MAX(0,ROUND(ROUND(Долги!$D$19-SUM($AL356:$AU356),2)-(SUM($H356:L356)-SUM($AL356:AP356)),2)))</f>
        <v>0.0</v>
      </c>
      <c r="N356" s="31">
        <f>AR356+MIN(X355+AH356-AR356,MAX(0,ROUND(ROUND(Долги!$D$19-SUM($AL356:$AU356),2)-(SUM($H356:M356)-SUM($AL356:AQ356)),2)))</f>
        <v>0.0</v>
      </c>
      <c r="O356" s="31">
        <f>AS356+MIN(Y355+AI356-AS356,MAX(0,ROUND(ROUND(Долги!$D$19-SUM($AL356:$AU356),2)-(SUM($H356:N356)-SUM($AL356:AR356)),2)))</f>
        <v>0.0</v>
      </c>
      <c r="P356" s="31">
        <f>AT356+MIN(Z355+AJ356-AT356,MAX(0,ROUND(ROUND(Долги!$D$19-SUM($AL356:$AU356),2)-(SUM($H356:O356)-SUM($AL356:AS356)),2)))</f>
        <v>0.0</v>
      </c>
      <c r="Q356" s="31">
        <f>AU356+MIN(AA355+AK356-AU356,MAX(0,ROUND(ROUND(Долги!$D$19-SUM($AL356:$AU356),2)-(SUM($H356:P356)-SUM($AL356:AT356)),2)))</f>
        <v>0.0</v>
      </c>
      <c r="R356" s="31">
        <f>IF(R355+AB356-H356&lt;=0.01,0,ROUND(R355+AB356-H356,2))</f>
        <v>0.0</v>
      </c>
      <c r="S356" s="31">
        <f>IF(S355+AC356-I356&lt;=0.01,0,ROUND(S355+AC356-I356,2))</f>
        <v>0.0</v>
      </c>
      <c r="T356" s="31">
        <f>IF(T355+AD356-J356&lt;=0.01,0,ROUND(T355+AD356-J356,2))</f>
        <v>0.0</v>
      </c>
      <c r="U356" s="31">
        <f>IF(U355+AE356-K356&lt;=0.01,0,ROUND(U355+AE356-K356,2))</f>
        <v>0.0</v>
      </c>
      <c r="V356" s="31">
        <f>IF(V355+AF356-L356&lt;=0.01,0,ROUND(V355+AF356-L356,2))</f>
        <v>0.0</v>
      </c>
      <c r="W356" s="31">
        <f>IF(W355+AG356-M356&lt;=0.01,0,ROUND(W355+AG356-M356,2))</f>
        <v>0.0</v>
      </c>
      <c r="X356" s="31">
        <f>IF(X355+AH356-N356&lt;=0.01,0,ROUND(X355+AH356-N356,2))</f>
        <v>0.0</v>
      </c>
      <c r="Y356" s="31">
        <f>IF(Y355+AI356-O356&lt;=0.01,0,ROUND(Y355+AI356-O356,2))</f>
        <v>0.0</v>
      </c>
      <c r="Z356" s="31">
        <f>IF(Z355+AJ356-P356&lt;=0.01,0,ROUND(Z355+AJ356-P356,2))</f>
        <v>0.0</v>
      </c>
      <c r="AA356" s="31">
        <f>IF(AA355+AK356-Q356&lt;=0.01,0,ROUND(AA355+AK356-Q356,2))</f>
        <v>0.0</v>
      </c>
      <c r="AB356" s="31">
        <f>ROUND(R355*AB$5/1200,2)</f>
        <v>0.0</v>
      </c>
      <c r="AC356" s="31">
        <f>ROUND(S355*AC$5/1200,2)</f>
        <v>0.0</v>
      </c>
      <c r="AD356" s="31">
        <f>ROUND(T355*AD$5/1200,2)</f>
        <v>0.0</v>
      </c>
      <c r="AE356" s="31">
        <f>ROUND(U355*AE$5/1200,2)</f>
        <v>0.0</v>
      </c>
      <c r="AF356" s="31">
        <f>ROUND(V355*AF$5/1200,2)</f>
        <v>0.0</v>
      </c>
      <c r="AG356" s="31">
        <f>ROUND(W355*AG$5/1200,2)</f>
        <v>0.0</v>
      </c>
      <c r="AH356" s="31">
        <f>ROUND(X355*AH$5/1200,2)</f>
        <v>0.0</v>
      </c>
      <c r="AI356" s="31">
        <f>ROUND(Y355*AI$5/1200,2)</f>
        <v>0.0</v>
      </c>
      <c r="AJ356" s="31">
        <f>ROUND(Z355*AJ$5/1200,2)</f>
        <v>0.0</v>
      </c>
      <c r="AK356" s="31">
        <f>ROUND(AA355*AK$5/1200,2)</f>
        <v>0.0</v>
      </c>
      <c r="AL356" s="31">
        <f>MIN(AL$5,R355+AB356)</f>
        <v>0.0</v>
      </c>
      <c r="AM356" s="31">
        <f>MIN(AM$5,S355+AC356)</f>
        <v>0.0</v>
      </c>
      <c r="AN356" s="31">
        <f>MIN(AN$5,T355+AD356)</f>
        <v>0.0</v>
      </c>
      <c r="AO356" s="31">
        <f>MIN(AO$5,U355+AE356)</f>
        <v>0.0</v>
      </c>
      <c r="AP356" s="31">
        <f>MIN(AP$5,V355+AF356)</f>
        <v>0.0</v>
      </c>
      <c r="AQ356" s="31">
        <f>MIN(AQ$5,W355+AG356)</f>
        <v>0.0</v>
      </c>
      <c r="AR356" s="31">
        <f>MIN(AR$5,X355+AH356)</f>
        <v>0.0</v>
      </c>
      <c r="AS356" s="31">
        <f>MIN(AS$5,Y355+AI356)</f>
        <v>0.0</v>
      </c>
      <c r="AT356" s="31">
        <f>MIN(AT$5,Z355+AJ356)</f>
        <v>0.0</v>
      </c>
      <c r="AU356" s="31">
        <f>MIN(AU$5,AA355+AK356)</f>
        <v>0.0</v>
      </c>
    </row>
    <row r="357">
      <c r="A357" s="25" t="str">
        <f>IF(F356&gt;0.005,352,"")</f>
        <v/>
      </c>
      <c r="B357" s="33" t="str">
        <f>IF(A357="","",EDATE(Долги!$D$5,351))</f>
        <v/>
      </c>
      <c r="C357" s="31">
        <f>SUM(H357:Q357)</f>
        <v>0.0</v>
      </c>
      <c r="D357" s="31">
        <f>SUM(AB357:AK357)</f>
        <v>0.0</v>
      </c>
      <c r="E357" s="31">
        <f>C357-D357</f>
        <v>0.0</v>
      </c>
      <c r="F357" s="31">
        <f>SUM(R357:AA357)</f>
        <v>0.0</v>
      </c>
      <c r="G357" s="34" t="str">
        <f>IF(OR(A357="",$F$5&lt;=0),"",REPT("█",ROUND(20*F357/$F$5,0)))</f>
        <v/>
      </c>
      <c r="H357" s="31">
        <f>AL357+MIN(R356+AB357-AL357,MAX(0,ROUND(Долги!$D$19-SUM($AL357:$AU357),2)))</f>
        <v>0.0</v>
      </c>
      <c r="I357" s="31">
        <f>AM357+MIN(S356+AC357-AM357,MAX(0,ROUND(ROUND(Долги!$D$19-SUM($AL357:$AU357),2)-(SUM($H357:H357)-SUM($AL357:AL357)),2)))</f>
        <v>0.0</v>
      </c>
      <c r="J357" s="31">
        <f>AN357+MIN(T356+AD357-AN357,MAX(0,ROUND(ROUND(Долги!$D$19-SUM($AL357:$AU357),2)-(SUM($H357:I357)-SUM($AL357:AM357)),2)))</f>
        <v>0.0</v>
      </c>
      <c r="K357" s="31">
        <f>AO357+MIN(U356+AE357-AO357,MAX(0,ROUND(ROUND(Долги!$D$19-SUM($AL357:$AU357),2)-(SUM($H357:J357)-SUM($AL357:AN357)),2)))</f>
        <v>0.0</v>
      </c>
      <c r="L357" s="31">
        <f>AP357+MIN(V356+AF357-AP357,MAX(0,ROUND(ROUND(Долги!$D$19-SUM($AL357:$AU357),2)-(SUM($H357:K357)-SUM($AL357:AO357)),2)))</f>
        <v>0.0</v>
      </c>
      <c r="M357" s="31">
        <f>AQ357+MIN(W356+AG357-AQ357,MAX(0,ROUND(ROUND(Долги!$D$19-SUM($AL357:$AU357),2)-(SUM($H357:L357)-SUM($AL357:AP357)),2)))</f>
        <v>0.0</v>
      </c>
      <c r="N357" s="31">
        <f>AR357+MIN(X356+AH357-AR357,MAX(0,ROUND(ROUND(Долги!$D$19-SUM($AL357:$AU357),2)-(SUM($H357:M357)-SUM($AL357:AQ357)),2)))</f>
        <v>0.0</v>
      </c>
      <c r="O357" s="31">
        <f>AS357+MIN(Y356+AI357-AS357,MAX(0,ROUND(ROUND(Долги!$D$19-SUM($AL357:$AU357),2)-(SUM($H357:N357)-SUM($AL357:AR357)),2)))</f>
        <v>0.0</v>
      </c>
      <c r="P357" s="31">
        <f>AT357+MIN(Z356+AJ357-AT357,MAX(0,ROUND(ROUND(Долги!$D$19-SUM($AL357:$AU357),2)-(SUM($H357:O357)-SUM($AL357:AS357)),2)))</f>
        <v>0.0</v>
      </c>
      <c r="Q357" s="31">
        <f>AU357+MIN(AA356+AK357-AU357,MAX(0,ROUND(ROUND(Долги!$D$19-SUM($AL357:$AU357),2)-(SUM($H357:P357)-SUM($AL357:AT357)),2)))</f>
        <v>0.0</v>
      </c>
      <c r="R357" s="31">
        <f>IF(R356+AB357-H357&lt;=0.01,0,ROUND(R356+AB357-H357,2))</f>
        <v>0.0</v>
      </c>
      <c r="S357" s="31">
        <f>IF(S356+AC357-I357&lt;=0.01,0,ROUND(S356+AC357-I357,2))</f>
        <v>0.0</v>
      </c>
      <c r="T357" s="31">
        <f>IF(T356+AD357-J357&lt;=0.01,0,ROUND(T356+AD357-J357,2))</f>
        <v>0.0</v>
      </c>
      <c r="U357" s="31">
        <f>IF(U356+AE357-K357&lt;=0.01,0,ROUND(U356+AE357-K357,2))</f>
        <v>0.0</v>
      </c>
      <c r="V357" s="31">
        <f>IF(V356+AF357-L357&lt;=0.01,0,ROUND(V356+AF357-L357,2))</f>
        <v>0.0</v>
      </c>
      <c r="W357" s="31">
        <f>IF(W356+AG357-M357&lt;=0.01,0,ROUND(W356+AG357-M357,2))</f>
        <v>0.0</v>
      </c>
      <c r="X357" s="31">
        <f>IF(X356+AH357-N357&lt;=0.01,0,ROUND(X356+AH357-N357,2))</f>
        <v>0.0</v>
      </c>
      <c r="Y357" s="31">
        <f>IF(Y356+AI357-O357&lt;=0.01,0,ROUND(Y356+AI357-O357,2))</f>
        <v>0.0</v>
      </c>
      <c r="Z357" s="31">
        <f>IF(Z356+AJ357-P357&lt;=0.01,0,ROUND(Z356+AJ357-P357,2))</f>
        <v>0.0</v>
      </c>
      <c r="AA357" s="31">
        <f>IF(AA356+AK357-Q357&lt;=0.01,0,ROUND(AA356+AK357-Q357,2))</f>
        <v>0.0</v>
      </c>
      <c r="AB357" s="31">
        <f>ROUND(R356*AB$5/1200,2)</f>
        <v>0.0</v>
      </c>
      <c r="AC357" s="31">
        <f>ROUND(S356*AC$5/1200,2)</f>
        <v>0.0</v>
      </c>
      <c r="AD357" s="31">
        <f>ROUND(T356*AD$5/1200,2)</f>
        <v>0.0</v>
      </c>
      <c r="AE357" s="31">
        <f>ROUND(U356*AE$5/1200,2)</f>
        <v>0.0</v>
      </c>
      <c r="AF357" s="31">
        <f>ROUND(V356*AF$5/1200,2)</f>
        <v>0.0</v>
      </c>
      <c r="AG357" s="31">
        <f>ROUND(W356*AG$5/1200,2)</f>
        <v>0.0</v>
      </c>
      <c r="AH357" s="31">
        <f>ROUND(X356*AH$5/1200,2)</f>
        <v>0.0</v>
      </c>
      <c r="AI357" s="31">
        <f>ROUND(Y356*AI$5/1200,2)</f>
        <v>0.0</v>
      </c>
      <c r="AJ357" s="31">
        <f>ROUND(Z356*AJ$5/1200,2)</f>
        <v>0.0</v>
      </c>
      <c r="AK357" s="31">
        <f>ROUND(AA356*AK$5/1200,2)</f>
        <v>0.0</v>
      </c>
      <c r="AL357" s="31">
        <f>MIN(AL$5,R356+AB357)</f>
        <v>0.0</v>
      </c>
      <c r="AM357" s="31">
        <f>MIN(AM$5,S356+AC357)</f>
        <v>0.0</v>
      </c>
      <c r="AN357" s="31">
        <f>MIN(AN$5,T356+AD357)</f>
        <v>0.0</v>
      </c>
      <c r="AO357" s="31">
        <f>MIN(AO$5,U356+AE357)</f>
        <v>0.0</v>
      </c>
      <c r="AP357" s="31">
        <f>MIN(AP$5,V356+AF357)</f>
        <v>0.0</v>
      </c>
      <c r="AQ357" s="31">
        <f>MIN(AQ$5,W356+AG357)</f>
        <v>0.0</v>
      </c>
      <c r="AR357" s="31">
        <f>MIN(AR$5,X356+AH357)</f>
        <v>0.0</v>
      </c>
      <c r="AS357" s="31">
        <f>MIN(AS$5,Y356+AI357)</f>
        <v>0.0</v>
      </c>
      <c r="AT357" s="31">
        <f>MIN(AT$5,Z356+AJ357)</f>
        <v>0.0</v>
      </c>
      <c r="AU357" s="31">
        <f>MIN(AU$5,AA356+AK357)</f>
        <v>0.0</v>
      </c>
    </row>
    <row r="358">
      <c r="A358" s="25" t="str">
        <f>IF(F357&gt;0.005,353,"")</f>
        <v/>
      </c>
      <c r="B358" s="33" t="str">
        <f>IF(A358="","",EDATE(Долги!$D$5,352))</f>
        <v/>
      </c>
      <c r="C358" s="31">
        <f>SUM(H358:Q358)</f>
        <v>0.0</v>
      </c>
      <c r="D358" s="31">
        <f>SUM(AB358:AK358)</f>
        <v>0.0</v>
      </c>
      <c r="E358" s="31">
        <f>C358-D358</f>
        <v>0.0</v>
      </c>
      <c r="F358" s="31">
        <f>SUM(R358:AA358)</f>
        <v>0.0</v>
      </c>
      <c r="G358" s="34" t="str">
        <f>IF(OR(A358="",$F$5&lt;=0),"",REPT("█",ROUND(20*F358/$F$5,0)))</f>
        <v/>
      </c>
      <c r="H358" s="31">
        <f>AL358+MIN(R357+AB358-AL358,MAX(0,ROUND(Долги!$D$19-SUM($AL358:$AU358),2)))</f>
        <v>0.0</v>
      </c>
      <c r="I358" s="31">
        <f>AM358+MIN(S357+AC358-AM358,MAX(0,ROUND(ROUND(Долги!$D$19-SUM($AL358:$AU358),2)-(SUM($H358:H358)-SUM($AL358:AL358)),2)))</f>
        <v>0.0</v>
      </c>
      <c r="J358" s="31">
        <f>AN358+MIN(T357+AD358-AN358,MAX(0,ROUND(ROUND(Долги!$D$19-SUM($AL358:$AU358),2)-(SUM($H358:I358)-SUM($AL358:AM358)),2)))</f>
        <v>0.0</v>
      </c>
      <c r="K358" s="31">
        <f>AO358+MIN(U357+AE358-AO358,MAX(0,ROUND(ROUND(Долги!$D$19-SUM($AL358:$AU358),2)-(SUM($H358:J358)-SUM($AL358:AN358)),2)))</f>
        <v>0.0</v>
      </c>
      <c r="L358" s="31">
        <f>AP358+MIN(V357+AF358-AP358,MAX(0,ROUND(ROUND(Долги!$D$19-SUM($AL358:$AU358),2)-(SUM($H358:K358)-SUM($AL358:AO358)),2)))</f>
        <v>0.0</v>
      </c>
      <c r="M358" s="31">
        <f>AQ358+MIN(W357+AG358-AQ358,MAX(0,ROUND(ROUND(Долги!$D$19-SUM($AL358:$AU358),2)-(SUM($H358:L358)-SUM($AL358:AP358)),2)))</f>
        <v>0.0</v>
      </c>
      <c r="N358" s="31">
        <f>AR358+MIN(X357+AH358-AR358,MAX(0,ROUND(ROUND(Долги!$D$19-SUM($AL358:$AU358),2)-(SUM($H358:M358)-SUM($AL358:AQ358)),2)))</f>
        <v>0.0</v>
      </c>
      <c r="O358" s="31">
        <f>AS358+MIN(Y357+AI358-AS358,MAX(0,ROUND(ROUND(Долги!$D$19-SUM($AL358:$AU358),2)-(SUM($H358:N358)-SUM($AL358:AR358)),2)))</f>
        <v>0.0</v>
      </c>
      <c r="P358" s="31">
        <f>AT358+MIN(Z357+AJ358-AT358,MAX(0,ROUND(ROUND(Долги!$D$19-SUM($AL358:$AU358),2)-(SUM($H358:O358)-SUM($AL358:AS358)),2)))</f>
        <v>0.0</v>
      </c>
      <c r="Q358" s="31">
        <f>AU358+MIN(AA357+AK358-AU358,MAX(0,ROUND(ROUND(Долги!$D$19-SUM($AL358:$AU358),2)-(SUM($H358:P358)-SUM($AL358:AT358)),2)))</f>
        <v>0.0</v>
      </c>
      <c r="R358" s="31">
        <f>IF(R357+AB358-H358&lt;=0.01,0,ROUND(R357+AB358-H358,2))</f>
        <v>0.0</v>
      </c>
      <c r="S358" s="31">
        <f>IF(S357+AC358-I358&lt;=0.01,0,ROUND(S357+AC358-I358,2))</f>
        <v>0.0</v>
      </c>
      <c r="T358" s="31">
        <f>IF(T357+AD358-J358&lt;=0.01,0,ROUND(T357+AD358-J358,2))</f>
        <v>0.0</v>
      </c>
      <c r="U358" s="31">
        <f>IF(U357+AE358-K358&lt;=0.01,0,ROUND(U357+AE358-K358,2))</f>
        <v>0.0</v>
      </c>
      <c r="V358" s="31">
        <f>IF(V357+AF358-L358&lt;=0.01,0,ROUND(V357+AF358-L358,2))</f>
        <v>0.0</v>
      </c>
      <c r="W358" s="31">
        <f>IF(W357+AG358-M358&lt;=0.01,0,ROUND(W357+AG358-M358,2))</f>
        <v>0.0</v>
      </c>
      <c r="X358" s="31">
        <f>IF(X357+AH358-N358&lt;=0.01,0,ROUND(X357+AH358-N358,2))</f>
        <v>0.0</v>
      </c>
      <c r="Y358" s="31">
        <f>IF(Y357+AI358-O358&lt;=0.01,0,ROUND(Y357+AI358-O358,2))</f>
        <v>0.0</v>
      </c>
      <c r="Z358" s="31">
        <f>IF(Z357+AJ358-P358&lt;=0.01,0,ROUND(Z357+AJ358-P358,2))</f>
        <v>0.0</v>
      </c>
      <c r="AA358" s="31">
        <f>IF(AA357+AK358-Q358&lt;=0.01,0,ROUND(AA357+AK358-Q358,2))</f>
        <v>0.0</v>
      </c>
      <c r="AB358" s="31">
        <f>ROUND(R357*AB$5/1200,2)</f>
        <v>0.0</v>
      </c>
      <c r="AC358" s="31">
        <f>ROUND(S357*AC$5/1200,2)</f>
        <v>0.0</v>
      </c>
      <c r="AD358" s="31">
        <f>ROUND(T357*AD$5/1200,2)</f>
        <v>0.0</v>
      </c>
      <c r="AE358" s="31">
        <f>ROUND(U357*AE$5/1200,2)</f>
        <v>0.0</v>
      </c>
      <c r="AF358" s="31">
        <f>ROUND(V357*AF$5/1200,2)</f>
        <v>0.0</v>
      </c>
      <c r="AG358" s="31">
        <f>ROUND(W357*AG$5/1200,2)</f>
        <v>0.0</v>
      </c>
      <c r="AH358" s="31">
        <f>ROUND(X357*AH$5/1200,2)</f>
        <v>0.0</v>
      </c>
      <c r="AI358" s="31">
        <f>ROUND(Y357*AI$5/1200,2)</f>
        <v>0.0</v>
      </c>
      <c r="AJ358" s="31">
        <f>ROUND(Z357*AJ$5/1200,2)</f>
        <v>0.0</v>
      </c>
      <c r="AK358" s="31">
        <f>ROUND(AA357*AK$5/1200,2)</f>
        <v>0.0</v>
      </c>
      <c r="AL358" s="31">
        <f>MIN(AL$5,R357+AB358)</f>
        <v>0.0</v>
      </c>
      <c r="AM358" s="31">
        <f>MIN(AM$5,S357+AC358)</f>
        <v>0.0</v>
      </c>
      <c r="AN358" s="31">
        <f>MIN(AN$5,T357+AD358)</f>
        <v>0.0</v>
      </c>
      <c r="AO358" s="31">
        <f>MIN(AO$5,U357+AE358)</f>
        <v>0.0</v>
      </c>
      <c r="AP358" s="31">
        <f>MIN(AP$5,V357+AF358)</f>
        <v>0.0</v>
      </c>
      <c r="AQ358" s="31">
        <f>MIN(AQ$5,W357+AG358)</f>
        <v>0.0</v>
      </c>
      <c r="AR358" s="31">
        <f>MIN(AR$5,X357+AH358)</f>
        <v>0.0</v>
      </c>
      <c r="AS358" s="31">
        <f>MIN(AS$5,Y357+AI358)</f>
        <v>0.0</v>
      </c>
      <c r="AT358" s="31">
        <f>MIN(AT$5,Z357+AJ358)</f>
        <v>0.0</v>
      </c>
      <c r="AU358" s="31">
        <f>MIN(AU$5,AA357+AK358)</f>
        <v>0.0</v>
      </c>
    </row>
    <row r="359">
      <c r="A359" s="25" t="str">
        <f>IF(F358&gt;0.005,354,"")</f>
        <v/>
      </c>
      <c r="B359" s="33" t="str">
        <f>IF(A359="","",EDATE(Долги!$D$5,353))</f>
        <v/>
      </c>
      <c r="C359" s="31">
        <f>SUM(H359:Q359)</f>
        <v>0.0</v>
      </c>
      <c r="D359" s="31">
        <f>SUM(AB359:AK359)</f>
        <v>0.0</v>
      </c>
      <c r="E359" s="31">
        <f>C359-D359</f>
        <v>0.0</v>
      </c>
      <c r="F359" s="31">
        <f>SUM(R359:AA359)</f>
        <v>0.0</v>
      </c>
      <c r="G359" s="34" t="str">
        <f>IF(OR(A359="",$F$5&lt;=0),"",REPT("█",ROUND(20*F359/$F$5,0)))</f>
        <v/>
      </c>
      <c r="H359" s="31">
        <f>AL359+MIN(R358+AB359-AL359,MAX(0,ROUND(Долги!$D$19-SUM($AL359:$AU359),2)))</f>
        <v>0.0</v>
      </c>
      <c r="I359" s="31">
        <f>AM359+MIN(S358+AC359-AM359,MAX(0,ROUND(ROUND(Долги!$D$19-SUM($AL359:$AU359),2)-(SUM($H359:H359)-SUM($AL359:AL359)),2)))</f>
        <v>0.0</v>
      </c>
      <c r="J359" s="31">
        <f>AN359+MIN(T358+AD359-AN359,MAX(0,ROUND(ROUND(Долги!$D$19-SUM($AL359:$AU359),2)-(SUM($H359:I359)-SUM($AL359:AM359)),2)))</f>
        <v>0.0</v>
      </c>
      <c r="K359" s="31">
        <f>AO359+MIN(U358+AE359-AO359,MAX(0,ROUND(ROUND(Долги!$D$19-SUM($AL359:$AU359),2)-(SUM($H359:J359)-SUM($AL359:AN359)),2)))</f>
        <v>0.0</v>
      </c>
      <c r="L359" s="31">
        <f>AP359+MIN(V358+AF359-AP359,MAX(0,ROUND(ROUND(Долги!$D$19-SUM($AL359:$AU359),2)-(SUM($H359:K359)-SUM($AL359:AO359)),2)))</f>
        <v>0.0</v>
      </c>
      <c r="M359" s="31">
        <f>AQ359+MIN(W358+AG359-AQ359,MAX(0,ROUND(ROUND(Долги!$D$19-SUM($AL359:$AU359),2)-(SUM($H359:L359)-SUM($AL359:AP359)),2)))</f>
        <v>0.0</v>
      </c>
      <c r="N359" s="31">
        <f>AR359+MIN(X358+AH359-AR359,MAX(0,ROUND(ROUND(Долги!$D$19-SUM($AL359:$AU359),2)-(SUM($H359:M359)-SUM($AL359:AQ359)),2)))</f>
        <v>0.0</v>
      </c>
      <c r="O359" s="31">
        <f>AS359+MIN(Y358+AI359-AS359,MAX(0,ROUND(ROUND(Долги!$D$19-SUM($AL359:$AU359),2)-(SUM($H359:N359)-SUM($AL359:AR359)),2)))</f>
        <v>0.0</v>
      </c>
      <c r="P359" s="31">
        <f>AT359+MIN(Z358+AJ359-AT359,MAX(0,ROUND(ROUND(Долги!$D$19-SUM($AL359:$AU359),2)-(SUM($H359:O359)-SUM($AL359:AS359)),2)))</f>
        <v>0.0</v>
      </c>
      <c r="Q359" s="31">
        <f>AU359+MIN(AA358+AK359-AU359,MAX(0,ROUND(ROUND(Долги!$D$19-SUM($AL359:$AU359),2)-(SUM($H359:P359)-SUM($AL359:AT359)),2)))</f>
        <v>0.0</v>
      </c>
      <c r="R359" s="31">
        <f>IF(R358+AB359-H359&lt;=0.01,0,ROUND(R358+AB359-H359,2))</f>
        <v>0.0</v>
      </c>
      <c r="S359" s="31">
        <f>IF(S358+AC359-I359&lt;=0.01,0,ROUND(S358+AC359-I359,2))</f>
        <v>0.0</v>
      </c>
      <c r="T359" s="31">
        <f>IF(T358+AD359-J359&lt;=0.01,0,ROUND(T358+AD359-J359,2))</f>
        <v>0.0</v>
      </c>
      <c r="U359" s="31">
        <f>IF(U358+AE359-K359&lt;=0.01,0,ROUND(U358+AE359-K359,2))</f>
        <v>0.0</v>
      </c>
      <c r="V359" s="31">
        <f>IF(V358+AF359-L359&lt;=0.01,0,ROUND(V358+AF359-L359,2))</f>
        <v>0.0</v>
      </c>
      <c r="W359" s="31">
        <f>IF(W358+AG359-M359&lt;=0.01,0,ROUND(W358+AG359-M359,2))</f>
        <v>0.0</v>
      </c>
      <c r="X359" s="31">
        <f>IF(X358+AH359-N359&lt;=0.01,0,ROUND(X358+AH359-N359,2))</f>
        <v>0.0</v>
      </c>
      <c r="Y359" s="31">
        <f>IF(Y358+AI359-O359&lt;=0.01,0,ROUND(Y358+AI359-O359,2))</f>
        <v>0.0</v>
      </c>
      <c r="Z359" s="31">
        <f>IF(Z358+AJ359-P359&lt;=0.01,0,ROUND(Z358+AJ359-P359,2))</f>
        <v>0.0</v>
      </c>
      <c r="AA359" s="31">
        <f>IF(AA358+AK359-Q359&lt;=0.01,0,ROUND(AA358+AK359-Q359,2))</f>
        <v>0.0</v>
      </c>
      <c r="AB359" s="31">
        <f>ROUND(R358*AB$5/1200,2)</f>
        <v>0.0</v>
      </c>
      <c r="AC359" s="31">
        <f>ROUND(S358*AC$5/1200,2)</f>
        <v>0.0</v>
      </c>
      <c r="AD359" s="31">
        <f>ROUND(T358*AD$5/1200,2)</f>
        <v>0.0</v>
      </c>
      <c r="AE359" s="31">
        <f>ROUND(U358*AE$5/1200,2)</f>
        <v>0.0</v>
      </c>
      <c r="AF359" s="31">
        <f>ROUND(V358*AF$5/1200,2)</f>
        <v>0.0</v>
      </c>
      <c r="AG359" s="31">
        <f>ROUND(W358*AG$5/1200,2)</f>
        <v>0.0</v>
      </c>
      <c r="AH359" s="31">
        <f>ROUND(X358*AH$5/1200,2)</f>
        <v>0.0</v>
      </c>
      <c r="AI359" s="31">
        <f>ROUND(Y358*AI$5/1200,2)</f>
        <v>0.0</v>
      </c>
      <c r="AJ359" s="31">
        <f>ROUND(Z358*AJ$5/1200,2)</f>
        <v>0.0</v>
      </c>
      <c r="AK359" s="31">
        <f>ROUND(AA358*AK$5/1200,2)</f>
        <v>0.0</v>
      </c>
      <c r="AL359" s="31">
        <f>MIN(AL$5,R358+AB359)</f>
        <v>0.0</v>
      </c>
      <c r="AM359" s="31">
        <f>MIN(AM$5,S358+AC359)</f>
        <v>0.0</v>
      </c>
      <c r="AN359" s="31">
        <f>MIN(AN$5,T358+AD359)</f>
        <v>0.0</v>
      </c>
      <c r="AO359" s="31">
        <f>MIN(AO$5,U358+AE359)</f>
        <v>0.0</v>
      </c>
      <c r="AP359" s="31">
        <f>MIN(AP$5,V358+AF359)</f>
        <v>0.0</v>
      </c>
      <c r="AQ359" s="31">
        <f>MIN(AQ$5,W358+AG359)</f>
        <v>0.0</v>
      </c>
      <c r="AR359" s="31">
        <f>MIN(AR$5,X358+AH359)</f>
        <v>0.0</v>
      </c>
      <c r="AS359" s="31">
        <f>MIN(AS$5,Y358+AI359)</f>
        <v>0.0</v>
      </c>
      <c r="AT359" s="31">
        <f>MIN(AT$5,Z358+AJ359)</f>
        <v>0.0</v>
      </c>
      <c r="AU359" s="31">
        <f>MIN(AU$5,AA358+AK359)</f>
        <v>0.0</v>
      </c>
    </row>
    <row r="360">
      <c r="A360" s="25" t="str">
        <f>IF(F359&gt;0.005,355,"")</f>
        <v/>
      </c>
      <c r="B360" s="33" t="str">
        <f>IF(A360="","",EDATE(Долги!$D$5,354))</f>
        <v/>
      </c>
      <c r="C360" s="31">
        <f>SUM(H360:Q360)</f>
        <v>0.0</v>
      </c>
      <c r="D360" s="31">
        <f>SUM(AB360:AK360)</f>
        <v>0.0</v>
      </c>
      <c r="E360" s="31">
        <f>C360-D360</f>
        <v>0.0</v>
      </c>
      <c r="F360" s="31">
        <f>SUM(R360:AA360)</f>
        <v>0.0</v>
      </c>
      <c r="G360" s="34" t="str">
        <f>IF(OR(A360="",$F$5&lt;=0),"",REPT("█",ROUND(20*F360/$F$5,0)))</f>
        <v/>
      </c>
      <c r="H360" s="31">
        <f>AL360+MIN(R359+AB360-AL360,MAX(0,ROUND(Долги!$D$19-SUM($AL360:$AU360),2)))</f>
        <v>0.0</v>
      </c>
      <c r="I360" s="31">
        <f>AM360+MIN(S359+AC360-AM360,MAX(0,ROUND(ROUND(Долги!$D$19-SUM($AL360:$AU360),2)-(SUM($H360:H360)-SUM($AL360:AL360)),2)))</f>
        <v>0.0</v>
      </c>
      <c r="J360" s="31">
        <f>AN360+MIN(T359+AD360-AN360,MAX(0,ROUND(ROUND(Долги!$D$19-SUM($AL360:$AU360),2)-(SUM($H360:I360)-SUM($AL360:AM360)),2)))</f>
        <v>0.0</v>
      </c>
      <c r="K360" s="31">
        <f>AO360+MIN(U359+AE360-AO360,MAX(0,ROUND(ROUND(Долги!$D$19-SUM($AL360:$AU360),2)-(SUM($H360:J360)-SUM($AL360:AN360)),2)))</f>
        <v>0.0</v>
      </c>
      <c r="L360" s="31">
        <f>AP360+MIN(V359+AF360-AP360,MAX(0,ROUND(ROUND(Долги!$D$19-SUM($AL360:$AU360),2)-(SUM($H360:K360)-SUM($AL360:AO360)),2)))</f>
        <v>0.0</v>
      </c>
      <c r="M360" s="31">
        <f>AQ360+MIN(W359+AG360-AQ360,MAX(0,ROUND(ROUND(Долги!$D$19-SUM($AL360:$AU360),2)-(SUM($H360:L360)-SUM($AL360:AP360)),2)))</f>
        <v>0.0</v>
      </c>
      <c r="N360" s="31">
        <f>AR360+MIN(X359+AH360-AR360,MAX(0,ROUND(ROUND(Долги!$D$19-SUM($AL360:$AU360),2)-(SUM($H360:M360)-SUM($AL360:AQ360)),2)))</f>
        <v>0.0</v>
      </c>
      <c r="O360" s="31">
        <f>AS360+MIN(Y359+AI360-AS360,MAX(0,ROUND(ROUND(Долги!$D$19-SUM($AL360:$AU360),2)-(SUM($H360:N360)-SUM($AL360:AR360)),2)))</f>
        <v>0.0</v>
      </c>
      <c r="P360" s="31">
        <f>AT360+MIN(Z359+AJ360-AT360,MAX(0,ROUND(ROUND(Долги!$D$19-SUM($AL360:$AU360),2)-(SUM($H360:O360)-SUM($AL360:AS360)),2)))</f>
        <v>0.0</v>
      </c>
      <c r="Q360" s="31">
        <f>AU360+MIN(AA359+AK360-AU360,MAX(0,ROUND(ROUND(Долги!$D$19-SUM($AL360:$AU360),2)-(SUM($H360:P360)-SUM($AL360:AT360)),2)))</f>
        <v>0.0</v>
      </c>
      <c r="R360" s="31">
        <f>IF(R359+AB360-H360&lt;=0.01,0,ROUND(R359+AB360-H360,2))</f>
        <v>0.0</v>
      </c>
      <c r="S360" s="31">
        <f>IF(S359+AC360-I360&lt;=0.01,0,ROUND(S359+AC360-I360,2))</f>
        <v>0.0</v>
      </c>
      <c r="T360" s="31">
        <f>IF(T359+AD360-J360&lt;=0.01,0,ROUND(T359+AD360-J360,2))</f>
        <v>0.0</v>
      </c>
      <c r="U360" s="31">
        <f>IF(U359+AE360-K360&lt;=0.01,0,ROUND(U359+AE360-K360,2))</f>
        <v>0.0</v>
      </c>
      <c r="V360" s="31">
        <f>IF(V359+AF360-L360&lt;=0.01,0,ROUND(V359+AF360-L360,2))</f>
        <v>0.0</v>
      </c>
      <c r="W360" s="31">
        <f>IF(W359+AG360-M360&lt;=0.01,0,ROUND(W359+AG360-M360,2))</f>
        <v>0.0</v>
      </c>
      <c r="X360" s="31">
        <f>IF(X359+AH360-N360&lt;=0.01,0,ROUND(X359+AH360-N360,2))</f>
        <v>0.0</v>
      </c>
      <c r="Y360" s="31">
        <f>IF(Y359+AI360-O360&lt;=0.01,0,ROUND(Y359+AI360-O360,2))</f>
        <v>0.0</v>
      </c>
      <c r="Z360" s="31">
        <f>IF(Z359+AJ360-P360&lt;=0.01,0,ROUND(Z359+AJ360-P360,2))</f>
        <v>0.0</v>
      </c>
      <c r="AA360" s="31">
        <f>IF(AA359+AK360-Q360&lt;=0.01,0,ROUND(AA359+AK360-Q360,2))</f>
        <v>0.0</v>
      </c>
      <c r="AB360" s="31">
        <f>ROUND(R359*AB$5/1200,2)</f>
        <v>0.0</v>
      </c>
      <c r="AC360" s="31">
        <f>ROUND(S359*AC$5/1200,2)</f>
        <v>0.0</v>
      </c>
      <c r="AD360" s="31">
        <f>ROUND(T359*AD$5/1200,2)</f>
        <v>0.0</v>
      </c>
      <c r="AE360" s="31">
        <f>ROUND(U359*AE$5/1200,2)</f>
        <v>0.0</v>
      </c>
      <c r="AF360" s="31">
        <f>ROUND(V359*AF$5/1200,2)</f>
        <v>0.0</v>
      </c>
      <c r="AG360" s="31">
        <f>ROUND(W359*AG$5/1200,2)</f>
        <v>0.0</v>
      </c>
      <c r="AH360" s="31">
        <f>ROUND(X359*AH$5/1200,2)</f>
        <v>0.0</v>
      </c>
      <c r="AI360" s="31">
        <f>ROUND(Y359*AI$5/1200,2)</f>
        <v>0.0</v>
      </c>
      <c r="AJ360" s="31">
        <f>ROUND(Z359*AJ$5/1200,2)</f>
        <v>0.0</v>
      </c>
      <c r="AK360" s="31">
        <f>ROUND(AA359*AK$5/1200,2)</f>
        <v>0.0</v>
      </c>
      <c r="AL360" s="31">
        <f>MIN(AL$5,R359+AB360)</f>
        <v>0.0</v>
      </c>
      <c r="AM360" s="31">
        <f>MIN(AM$5,S359+AC360)</f>
        <v>0.0</v>
      </c>
      <c r="AN360" s="31">
        <f>MIN(AN$5,T359+AD360)</f>
        <v>0.0</v>
      </c>
      <c r="AO360" s="31">
        <f>MIN(AO$5,U359+AE360)</f>
        <v>0.0</v>
      </c>
      <c r="AP360" s="31">
        <f>MIN(AP$5,V359+AF360)</f>
        <v>0.0</v>
      </c>
      <c r="AQ360" s="31">
        <f>MIN(AQ$5,W359+AG360)</f>
        <v>0.0</v>
      </c>
      <c r="AR360" s="31">
        <f>MIN(AR$5,X359+AH360)</f>
        <v>0.0</v>
      </c>
      <c r="AS360" s="31">
        <f>MIN(AS$5,Y359+AI360)</f>
        <v>0.0</v>
      </c>
      <c r="AT360" s="31">
        <f>MIN(AT$5,Z359+AJ360)</f>
        <v>0.0</v>
      </c>
      <c r="AU360" s="31">
        <f>MIN(AU$5,AA359+AK360)</f>
        <v>0.0</v>
      </c>
    </row>
    <row r="361">
      <c r="A361" s="25" t="str">
        <f>IF(F360&gt;0.005,356,"")</f>
        <v/>
      </c>
      <c r="B361" s="33" t="str">
        <f>IF(A361="","",EDATE(Долги!$D$5,355))</f>
        <v/>
      </c>
      <c r="C361" s="31">
        <f>SUM(H361:Q361)</f>
        <v>0.0</v>
      </c>
      <c r="D361" s="31">
        <f>SUM(AB361:AK361)</f>
        <v>0.0</v>
      </c>
      <c r="E361" s="31">
        <f>C361-D361</f>
        <v>0.0</v>
      </c>
      <c r="F361" s="31">
        <f>SUM(R361:AA361)</f>
        <v>0.0</v>
      </c>
      <c r="G361" s="34" t="str">
        <f>IF(OR(A361="",$F$5&lt;=0),"",REPT("█",ROUND(20*F361/$F$5,0)))</f>
        <v/>
      </c>
      <c r="H361" s="31">
        <f>AL361+MIN(R360+AB361-AL361,MAX(0,ROUND(Долги!$D$19-SUM($AL361:$AU361),2)))</f>
        <v>0.0</v>
      </c>
      <c r="I361" s="31">
        <f>AM361+MIN(S360+AC361-AM361,MAX(0,ROUND(ROUND(Долги!$D$19-SUM($AL361:$AU361),2)-(SUM($H361:H361)-SUM($AL361:AL361)),2)))</f>
        <v>0.0</v>
      </c>
      <c r="J361" s="31">
        <f>AN361+MIN(T360+AD361-AN361,MAX(0,ROUND(ROUND(Долги!$D$19-SUM($AL361:$AU361),2)-(SUM($H361:I361)-SUM($AL361:AM361)),2)))</f>
        <v>0.0</v>
      </c>
      <c r="K361" s="31">
        <f>AO361+MIN(U360+AE361-AO361,MAX(0,ROUND(ROUND(Долги!$D$19-SUM($AL361:$AU361),2)-(SUM($H361:J361)-SUM($AL361:AN361)),2)))</f>
        <v>0.0</v>
      </c>
      <c r="L361" s="31">
        <f>AP361+MIN(V360+AF361-AP361,MAX(0,ROUND(ROUND(Долги!$D$19-SUM($AL361:$AU361),2)-(SUM($H361:K361)-SUM($AL361:AO361)),2)))</f>
        <v>0.0</v>
      </c>
      <c r="M361" s="31">
        <f>AQ361+MIN(W360+AG361-AQ361,MAX(0,ROUND(ROUND(Долги!$D$19-SUM($AL361:$AU361),2)-(SUM($H361:L361)-SUM($AL361:AP361)),2)))</f>
        <v>0.0</v>
      </c>
      <c r="N361" s="31">
        <f>AR361+MIN(X360+AH361-AR361,MAX(0,ROUND(ROUND(Долги!$D$19-SUM($AL361:$AU361),2)-(SUM($H361:M361)-SUM($AL361:AQ361)),2)))</f>
        <v>0.0</v>
      </c>
      <c r="O361" s="31">
        <f>AS361+MIN(Y360+AI361-AS361,MAX(0,ROUND(ROUND(Долги!$D$19-SUM($AL361:$AU361),2)-(SUM($H361:N361)-SUM($AL361:AR361)),2)))</f>
        <v>0.0</v>
      </c>
      <c r="P361" s="31">
        <f>AT361+MIN(Z360+AJ361-AT361,MAX(0,ROUND(ROUND(Долги!$D$19-SUM($AL361:$AU361),2)-(SUM($H361:O361)-SUM($AL361:AS361)),2)))</f>
        <v>0.0</v>
      </c>
      <c r="Q361" s="31">
        <f>AU361+MIN(AA360+AK361-AU361,MAX(0,ROUND(ROUND(Долги!$D$19-SUM($AL361:$AU361),2)-(SUM($H361:P361)-SUM($AL361:AT361)),2)))</f>
        <v>0.0</v>
      </c>
      <c r="R361" s="31">
        <f>IF(R360+AB361-H361&lt;=0.01,0,ROUND(R360+AB361-H361,2))</f>
        <v>0.0</v>
      </c>
      <c r="S361" s="31">
        <f>IF(S360+AC361-I361&lt;=0.01,0,ROUND(S360+AC361-I361,2))</f>
        <v>0.0</v>
      </c>
      <c r="T361" s="31">
        <f>IF(T360+AD361-J361&lt;=0.01,0,ROUND(T360+AD361-J361,2))</f>
        <v>0.0</v>
      </c>
      <c r="U361" s="31">
        <f>IF(U360+AE361-K361&lt;=0.01,0,ROUND(U360+AE361-K361,2))</f>
        <v>0.0</v>
      </c>
      <c r="V361" s="31">
        <f>IF(V360+AF361-L361&lt;=0.01,0,ROUND(V360+AF361-L361,2))</f>
        <v>0.0</v>
      </c>
      <c r="W361" s="31">
        <f>IF(W360+AG361-M361&lt;=0.01,0,ROUND(W360+AG361-M361,2))</f>
        <v>0.0</v>
      </c>
      <c r="X361" s="31">
        <f>IF(X360+AH361-N361&lt;=0.01,0,ROUND(X360+AH361-N361,2))</f>
        <v>0.0</v>
      </c>
      <c r="Y361" s="31">
        <f>IF(Y360+AI361-O361&lt;=0.01,0,ROUND(Y360+AI361-O361,2))</f>
        <v>0.0</v>
      </c>
      <c r="Z361" s="31">
        <f>IF(Z360+AJ361-P361&lt;=0.01,0,ROUND(Z360+AJ361-P361,2))</f>
        <v>0.0</v>
      </c>
      <c r="AA361" s="31">
        <f>IF(AA360+AK361-Q361&lt;=0.01,0,ROUND(AA360+AK361-Q361,2))</f>
        <v>0.0</v>
      </c>
      <c r="AB361" s="31">
        <f>ROUND(R360*AB$5/1200,2)</f>
        <v>0.0</v>
      </c>
      <c r="AC361" s="31">
        <f>ROUND(S360*AC$5/1200,2)</f>
        <v>0.0</v>
      </c>
      <c r="AD361" s="31">
        <f>ROUND(T360*AD$5/1200,2)</f>
        <v>0.0</v>
      </c>
      <c r="AE361" s="31">
        <f>ROUND(U360*AE$5/1200,2)</f>
        <v>0.0</v>
      </c>
      <c r="AF361" s="31">
        <f>ROUND(V360*AF$5/1200,2)</f>
        <v>0.0</v>
      </c>
      <c r="AG361" s="31">
        <f>ROUND(W360*AG$5/1200,2)</f>
        <v>0.0</v>
      </c>
      <c r="AH361" s="31">
        <f>ROUND(X360*AH$5/1200,2)</f>
        <v>0.0</v>
      </c>
      <c r="AI361" s="31">
        <f>ROUND(Y360*AI$5/1200,2)</f>
        <v>0.0</v>
      </c>
      <c r="AJ361" s="31">
        <f>ROUND(Z360*AJ$5/1200,2)</f>
        <v>0.0</v>
      </c>
      <c r="AK361" s="31">
        <f>ROUND(AA360*AK$5/1200,2)</f>
        <v>0.0</v>
      </c>
      <c r="AL361" s="31">
        <f>MIN(AL$5,R360+AB361)</f>
        <v>0.0</v>
      </c>
      <c r="AM361" s="31">
        <f>MIN(AM$5,S360+AC361)</f>
        <v>0.0</v>
      </c>
      <c r="AN361" s="31">
        <f>MIN(AN$5,T360+AD361)</f>
        <v>0.0</v>
      </c>
      <c r="AO361" s="31">
        <f>MIN(AO$5,U360+AE361)</f>
        <v>0.0</v>
      </c>
      <c r="AP361" s="31">
        <f>MIN(AP$5,V360+AF361)</f>
        <v>0.0</v>
      </c>
      <c r="AQ361" s="31">
        <f>MIN(AQ$5,W360+AG361)</f>
        <v>0.0</v>
      </c>
      <c r="AR361" s="31">
        <f>MIN(AR$5,X360+AH361)</f>
        <v>0.0</v>
      </c>
      <c r="AS361" s="31">
        <f>MIN(AS$5,Y360+AI361)</f>
        <v>0.0</v>
      </c>
      <c r="AT361" s="31">
        <f>MIN(AT$5,Z360+AJ361)</f>
        <v>0.0</v>
      </c>
      <c r="AU361" s="31">
        <f>MIN(AU$5,AA360+AK361)</f>
        <v>0.0</v>
      </c>
    </row>
    <row r="362">
      <c r="A362" s="25" t="str">
        <f>IF(F361&gt;0.005,357,"")</f>
        <v/>
      </c>
      <c r="B362" s="33" t="str">
        <f>IF(A362="","",EDATE(Долги!$D$5,356))</f>
        <v/>
      </c>
      <c r="C362" s="31">
        <f>SUM(H362:Q362)</f>
        <v>0.0</v>
      </c>
      <c r="D362" s="31">
        <f>SUM(AB362:AK362)</f>
        <v>0.0</v>
      </c>
      <c r="E362" s="31">
        <f>C362-D362</f>
        <v>0.0</v>
      </c>
      <c r="F362" s="31">
        <f>SUM(R362:AA362)</f>
        <v>0.0</v>
      </c>
      <c r="G362" s="34" t="str">
        <f>IF(OR(A362="",$F$5&lt;=0),"",REPT("█",ROUND(20*F362/$F$5,0)))</f>
        <v/>
      </c>
      <c r="H362" s="31">
        <f>AL362+MIN(R361+AB362-AL362,MAX(0,ROUND(Долги!$D$19-SUM($AL362:$AU362),2)))</f>
        <v>0.0</v>
      </c>
      <c r="I362" s="31">
        <f>AM362+MIN(S361+AC362-AM362,MAX(0,ROUND(ROUND(Долги!$D$19-SUM($AL362:$AU362),2)-(SUM($H362:H362)-SUM($AL362:AL362)),2)))</f>
        <v>0.0</v>
      </c>
      <c r="J362" s="31">
        <f>AN362+MIN(T361+AD362-AN362,MAX(0,ROUND(ROUND(Долги!$D$19-SUM($AL362:$AU362),2)-(SUM($H362:I362)-SUM($AL362:AM362)),2)))</f>
        <v>0.0</v>
      </c>
      <c r="K362" s="31">
        <f>AO362+MIN(U361+AE362-AO362,MAX(0,ROUND(ROUND(Долги!$D$19-SUM($AL362:$AU362),2)-(SUM($H362:J362)-SUM($AL362:AN362)),2)))</f>
        <v>0.0</v>
      </c>
      <c r="L362" s="31">
        <f>AP362+MIN(V361+AF362-AP362,MAX(0,ROUND(ROUND(Долги!$D$19-SUM($AL362:$AU362),2)-(SUM($H362:K362)-SUM($AL362:AO362)),2)))</f>
        <v>0.0</v>
      </c>
      <c r="M362" s="31">
        <f>AQ362+MIN(W361+AG362-AQ362,MAX(0,ROUND(ROUND(Долги!$D$19-SUM($AL362:$AU362),2)-(SUM($H362:L362)-SUM($AL362:AP362)),2)))</f>
        <v>0.0</v>
      </c>
      <c r="N362" s="31">
        <f>AR362+MIN(X361+AH362-AR362,MAX(0,ROUND(ROUND(Долги!$D$19-SUM($AL362:$AU362),2)-(SUM($H362:M362)-SUM($AL362:AQ362)),2)))</f>
        <v>0.0</v>
      </c>
      <c r="O362" s="31">
        <f>AS362+MIN(Y361+AI362-AS362,MAX(0,ROUND(ROUND(Долги!$D$19-SUM($AL362:$AU362),2)-(SUM($H362:N362)-SUM($AL362:AR362)),2)))</f>
        <v>0.0</v>
      </c>
      <c r="P362" s="31">
        <f>AT362+MIN(Z361+AJ362-AT362,MAX(0,ROUND(ROUND(Долги!$D$19-SUM($AL362:$AU362),2)-(SUM($H362:O362)-SUM($AL362:AS362)),2)))</f>
        <v>0.0</v>
      </c>
      <c r="Q362" s="31">
        <f>AU362+MIN(AA361+AK362-AU362,MAX(0,ROUND(ROUND(Долги!$D$19-SUM($AL362:$AU362),2)-(SUM($H362:P362)-SUM($AL362:AT362)),2)))</f>
        <v>0.0</v>
      </c>
      <c r="R362" s="31">
        <f>IF(R361+AB362-H362&lt;=0.01,0,ROUND(R361+AB362-H362,2))</f>
        <v>0.0</v>
      </c>
      <c r="S362" s="31">
        <f>IF(S361+AC362-I362&lt;=0.01,0,ROUND(S361+AC362-I362,2))</f>
        <v>0.0</v>
      </c>
      <c r="T362" s="31">
        <f>IF(T361+AD362-J362&lt;=0.01,0,ROUND(T361+AD362-J362,2))</f>
        <v>0.0</v>
      </c>
      <c r="U362" s="31">
        <f>IF(U361+AE362-K362&lt;=0.01,0,ROUND(U361+AE362-K362,2))</f>
        <v>0.0</v>
      </c>
      <c r="V362" s="31">
        <f>IF(V361+AF362-L362&lt;=0.01,0,ROUND(V361+AF362-L362,2))</f>
        <v>0.0</v>
      </c>
      <c r="W362" s="31">
        <f>IF(W361+AG362-M362&lt;=0.01,0,ROUND(W361+AG362-M362,2))</f>
        <v>0.0</v>
      </c>
      <c r="X362" s="31">
        <f>IF(X361+AH362-N362&lt;=0.01,0,ROUND(X361+AH362-N362,2))</f>
        <v>0.0</v>
      </c>
      <c r="Y362" s="31">
        <f>IF(Y361+AI362-O362&lt;=0.01,0,ROUND(Y361+AI362-O362,2))</f>
        <v>0.0</v>
      </c>
      <c r="Z362" s="31">
        <f>IF(Z361+AJ362-P362&lt;=0.01,0,ROUND(Z361+AJ362-P362,2))</f>
        <v>0.0</v>
      </c>
      <c r="AA362" s="31">
        <f>IF(AA361+AK362-Q362&lt;=0.01,0,ROUND(AA361+AK362-Q362,2))</f>
        <v>0.0</v>
      </c>
      <c r="AB362" s="31">
        <f>ROUND(R361*AB$5/1200,2)</f>
        <v>0.0</v>
      </c>
      <c r="AC362" s="31">
        <f>ROUND(S361*AC$5/1200,2)</f>
        <v>0.0</v>
      </c>
      <c r="AD362" s="31">
        <f>ROUND(T361*AD$5/1200,2)</f>
        <v>0.0</v>
      </c>
      <c r="AE362" s="31">
        <f>ROUND(U361*AE$5/1200,2)</f>
        <v>0.0</v>
      </c>
      <c r="AF362" s="31">
        <f>ROUND(V361*AF$5/1200,2)</f>
        <v>0.0</v>
      </c>
      <c r="AG362" s="31">
        <f>ROUND(W361*AG$5/1200,2)</f>
        <v>0.0</v>
      </c>
      <c r="AH362" s="31">
        <f>ROUND(X361*AH$5/1200,2)</f>
        <v>0.0</v>
      </c>
      <c r="AI362" s="31">
        <f>ROUND(Y361*AI$5/1200,2)</f>
        <v>0.0</v>
      </c>
      <c r="AJ362" s="31">
        <f>ROUND(Z361*AJ$5/1200,2)</f>
        <v>0.0</v>
      </c>
      <c r="AK362" s="31">
        <f>ROUND(AA361*AK$5/1200,2)</f>
        <v>0.0</v>
      </c>
      <c r="AL362" s="31">
        <f>MIN(AL$5,R361+AB362)</f>
        <v>0.0</v>
      </c>
      <c r="AM362" s="31">
        <f>MIN(AM$5,S361+AC362)</f>
        <v>0.0</v>
      </c>
      <c r="AN362" s="31">
        <f>MIN(AN$5,T361+AD362)</f>
        <v>0.0</v>
      </c>
      <c r="AO362" s="31">
        <f>MIN(AO$5,U361+AE362)</f>
        <v>0.0</v>
      </c>
      <c r="AP362" s="31">
        <f>MIN(AP$5,V361+AF362)</f>
        <v>0.0</v>
      </c>
      <c r="AQ362" s="31">
        <f>MIN(AQ$5,W361+AG362)</f>
        <v>0.0</v>
      </c>
      <c r="AR362" s="31">
        <f>MIN(AR$5,X361+AH362)</f>
        <v>0.0</v>
      </c>
      <c r="AS362" s="31">
        <f>MIN(AS$5,Y361+AI362)</f>
        <v>0.0</v>
      </c>
      <c r="AT362" s="31">
        <f>MIN(AT$5,Z361+AJ362)</f>
        <v>0.0</v>
      </c>
      <c r="AU362" s="31">
        <f>MIN(AU$5,AA361+AK362)</f>
        <v>0.0</v>
      </c>
    </row>
    <row r="363">
      <c r="A363" s="25" t="str">
        <f>IF(F362&gt;0.005,358,"")</f>
        <v/>
      </c>
      <c r="B363" s="33" t="str">
        <f>IF(A363="","",EDATE(Долги!$D$5,357))</f>
        <v/>
      </c>
      <c r="C363" s="31">
        <f>SUM(H363:Q363)</f>
        <v>0.0</v>
      </c>
      <c r="D363" s="31">
        <f>SUM(AB363:AK363)</f>
        <v>0.0</v>
      </c>
      <c r="E363" s="31">
        <f>C363-D363</f>
        <v>0.0</v>
      </c>
      <c r="F363" s="31">
        <f>SUM(R363:AA363)</f>
        <v>0.0</v>
      </c>
      <c r="G363" s="34" t="str">
        <f>IF(OR(A363="",$F$5&lt;=0),"",REPT("█",ROUND(20*F363/$F$5,0)))</f>
        <v/>
      </c>
      <c r="H363" s="31">
        <f>AL363+MIN(R362+AB363-AL363,MAX(0,ROUND(Долги!$D$19-SUM($AL363:$AU363),2)))</f>
        <v>0.0</v>
      </c>
      <c r="I363" s="31">
        <f>AM363+MIN(S362+AC363-AM363,MAX(0,ROUND(ROUND(Долги!$D$19-SUM($AL363:$AU363),2)-(SUM($H363:H363)-SUM($AL363:AL363)),2)))</f>
        <v>0.0</v>
      </c>
      <c r="J363" s="31">
        <f>AN363+MIN(T362+AD363-AN363,MAX(0,ROUND(ROUND(Долги!$D$19-SUM($AL363:$AU363),2)-(SUM($H363:I363)-SUM($AL363:AM363)),2)))</f>
        <v>0.0</v>
      </c>
      <c r="K363" s="31">
        <f>AO363+MIN(U362+AE363-AO363,MAX(0,ROUND(ROUND(Долги!$D$19-SUM($AL363:$AU363),2)-(SUM($H363:J363)-SUM($AL363:AN363)),2)))</f>
        <v>0.0</v>
      </c>
      <c r="L363" s="31">
        <f>AP363+MIN(V362+AF363-AP363,MAX(0,ROUND(ROUND(Долги!$D$19-SUM($AL363:$AU363),2)-(SUM($H363:K363)-SUM($AL363:AO363)),2)))</f>
        <v>0.0</v>
      </c>
      <c r="M363" s="31">
        <f>AQ363+MIN(W362+AG363-AQ363,MAX(0,ROUND(ROUND(Долги!$D$19-SUM($AL363:$AU363),2)-(SUM($H363:L363)-SUM($AL363:AP363)),2)))</f>
        <v>0.0</v>
      </c>
      <c r="N363" s="31">
        <f>AR363+MIN(X362+AH363-AR363,MAX(0,ROUND(ROUND(Долги!$D$19-SUM($AL363:$AU363),2)-(SUM($H363:M363)-SUM($AL363:AQ363)),2)))</f>
        <v>0.0</v>
      </c>
      <c r="O363" s="31">
        <f>AS363+MIN(Y362+AI363-AS363,MAX(0,ROUND(ROUND(Долги!$D$19-SUM($AL363:$AU363),2)-(SUM($H363:N363)-SUM($AL363:AR363)),2)))</f>
        <v>0.0</v>
      </c>
      <c r="P363" s="31">
        <f>AT363+MIN(Z362+AJ363-AT363,MAX(0,ROUND(ROUND(Долги!$D$19-SUM($AL363:$AU363),2)-(SUM($H363:O363)-SUM($AL363:AS363)),2)))</f>
        <v>0.0</v>
      </c>
      <c r="Q363" s="31">
        <f>AU363+MIN(AA362+AK363-AU363,MAX(0,ROUND(ROUND(Долги!$D$19-SUM($AL363:$AU363),2)-(SUM($H363:P363)-SUM($AL363:AT363)),2)))</f>
        <v>0.0</v>
      </c>
      <c r="R363" s="31">
        <f>IF(R362+AB363-H363&lt;=0.01,0,ROUND(R362+AB363-H363,2))</f>
        <v>0.0</v>
      </c>
      <c r="S363" s="31">
        <f>IF(S362+AC363-I363&lt;=0.01,0,ROUND(S362+AC363-I363,2))</f>
        <v>0.0</v>
      </c>
      <c r="T363" s="31">
        <f>IF(T362+AD363-J363&lt;=0.01,0,ROUND(T362+AD363-J363,2))</f>
        <v>0.0</v>
      </c>
      <c r="U363" s="31">
        <f>IF(U362+AE363-K363&lt;=0.01,0,ROUND(U362+AE363-K363,2))</f>
        <v>0.0</v>
      </c>
      <c r="V363" s="31">
        <f>IF(V362+AF363-L363&lt;=0.01,0,ROUND(V362+AF363-L363,2))</f>
        <v>0.0</v>
      </c>
      <c r="W363" s="31">
        <f>IF(W362+AG363-M363&lt;=0.01,0,ROUND(W362+AG363-M363,2))</f>
        <v>0.0</v>
      </c>
      <c r="X363" s="31">
        <f>IF(X362+AH363-N363&lt;=0.01,0,ROUND(X362+AH363-N363,2))</f>
        <v>0.0</v>
      </c>
      <c r="Y363" s="31">
        <f>IF(Y362+AI363-O363&lt;=0.01,0,ROUND(Y362+AI363-O363,2))</f>
        <v>0.0</v>
      </c>
      <c r="Z363" s="31">
        <f>IF(Z362+AJ363-P363&lt;=0.01,0,ROUND(Z362+AJ363-P363,2))</f>
        <v>0.0</v>
      </c>
      <c r="AA363" s="31">
        <f>IF(AA362+AK363-Q363&lt;=0.01,0,ROUND(AA362+AK363-Q363,2))</f>
        <v>0.0</v>
      </c>
      <c r="AB363" s="31">
        <f>ROUND(R362*AB$5/1200,2)</f>
        <v>0.0</v>
      </c>
      <c r="AC363" s="31">
        <f>ROUND(S362*AC$5/1200,2)</f>
        <v>0.0</v>
      </c>
      <c r="AD363" s="31">
        <f>ROUND(T362*AD$5/1200,2)</f>
        <v>0.0</v>
      </c>
      <c r="AE363" s="31">
        <f>ROUND(U362*AE$5/1200,2)</f>
        <v>0.0</v>
      </c>
      <c r="AF363" s="31">
        <f>ROUND(V362*AF$5/1200,2)</f>
        <v>0.0</v>
      </c>
      <c r="AG363" s="31">
        <f>ROUND(W362*AG$5/1200,2)</f>
        <v>0.0</v>
      </c>
      <c r="AH363" s="31">
        <f>ROUND(X362*AH$5/1200,2)</f>
        <v>0.0</v>
      </c>
      <c r="AI363" s="31">
        <f>ROUND(Y362*AI$5/1200,2)</f>
        <v>0.0</v>
      </c>
      <c r="AJ363" s="31">
        <f>ROUND(Z362*AJ$5/1200,2)</f>
        <v>0.0</v>
      </c>
      <c r="AK363" s="31">
        <f>ROUND(AA362*AK$5/1200,2)</f>
        <v>0.0</v>
      </c>
      <c r="AL363" s="31">
        <f>MIN(AL$5,R362+AB363)</f>
        <v>0.0</v>
      </c>
      <c r="AM363" s="31">
        <f>MIN(AM$5,S362+AC363)</f>
        <v>0.0</v>
      </c>
      <c r="AN363" s="31">
        <f>MIN(AN$5,T362+AD363)</f>
        <v>0.0</v>
      </c>
      <c r="AO363" s="31">
        <f>MIN(AO$5,U362+AE363)</f>
        <v>0.0</v>
      </c>
      <c r="AP363" s="31">
        <f>MIN(AP$5,V362+AF363)</f>
        <v>0.0</v>
      </c>
      <c r="AQ363" s="31">
        <f>MIN(AQ$5,W362+AG363)</f>
        <v>0.0</v>
      </c>
      <c r="AR363" s="31">
        <f>MIN(AR$5,X362+AH363)</f>
        <v>0.0</v>
      </c>
      <c r="AS363" s="31">
        <f>MIN(AS$5,Y362+AI363)</f>
        <v>0.0</v>
      </c>
      <c r="AT363" s="31">
        <f>MIN(AT$5,Z362+AJ363)</f>
        <v>0.0</v>
      </c>
      <c r="AU363" s="31">
        <f>MIN(AU$5,AA362+AK363)</f>
        <v>0.0</v>
      </c>
    </row>
    <row r="364">
      <c r="A364" s="25" t="str">
        <f>IF(F363&gt;0.005,359,"")</f>
        <v/>
      </c>
      <c r="B364" s="33" t="str">
        <f>IF(A364="","",EDATE(Долги!$D$5,358))</f>
        <v/>
      </c>
      <c r="C364" s="31">
        <f>SUM(H364:Q364)</f>
        <v>0.0</v>
      </c>
      <c r="D364" s="31">
        <f>SUM(AB364:AK364)</f>
        <v>0.0</v>
      </c>
      <c r="E364" s="31">
        <f>C364-D364</f>
        <v>0.0</v>
      </c>
      <c r="F364" s="31">
        <f>SUM(R364:AA364)</f>
        <v>0.0</v>
      </c>
      <c r="G364" s="34" t="str">
        <f>IF(OR(A364="",$F$5&lt;=0),"",REPT("█",ROUND(20*F364/$F$5,0)))</f>
        <v/>
      </c>
      <c r="H364" s="31">
        <f>AL364+MIN(R363+AB364-AL364,MAX(0,ROUND(Долги!$D$19-SUM($AL364:$AU364),2)))</f>
        <v>0.0</v>
      </c>
      <c r="I364" s="31">
        <f>AM364+MIN(S363+AC364-AM364,MAX(0,ROUND(ROUND(Долги!$D$19-SUM($AL364:$AU364),2)-(SUM($H364:H364)-SUM($AL364:AL364)),2)))</f>
        <v>0.0</v>
      </c>
      <c r="J364" s="31">
        <f>AN364+MIN(T363+AD364-AN364,MAX(0,ROUND(ROUND(Долги!$D$19-SUM($AL364:$AU364),2)-(SUM($H364:I364)-SUM($AL364:AM364)),2)))</f>
        <v>0.0</v>
      </c>
      <c r="K364" s="31">
        <f>AO364+MIN(U363+AE364-AO364,MAX(0,ROUND(ROUND(Долги!$D$19-SUM($AL364:$AU364),2)-(SUM($H364:J364)-SUM($AL364:AN364)),2)))</f>
        <v>0.0</v>
      </c>
      <c r="L364" s="31">
        <f>AP364+MIN(V363+AF364-AP364,MAX(0,ROUND(ROUND(Долги!$D$19-SUM($AL364:$AU364),2)-(SUM($H364:K364)-SUM($AL364:AO364)),2)))</f>
        <v>0.0</v>
      </c>
      <c r="M364" s="31">
        <f>AQ364+MIN(W363+AG364-AQ364,MAX(0,ROUND(ROUND(Долги!$D$19-SUM($AL364:$AU364),2)-(SUM($H364:L364)-SUM($AL364:AP364)),2)))</f>
        <v>0.0</v>
      </c>
      <c r="N364" s="31">
        <f>AR364+MIN(X363+AH364-AR364,MAX(0,ROUND(ROUND(Долги!$D$19-SUM($AL364:$AU364),2)-(SUM($H364:M364)-SUM($AL364:AQ364)),2)))</f>
        <v>0.0</v>
      </c>
      <c r="O364" s="31">
        <f>AS364+MIN(Y363+AI364-AS364,MAX(0,ROUND(ROUND(Долги!$D$19-SUM($AL364:$AU364),2)-(SUM($H364:N364)-SUM($AL364:AR364)),2)))</f>
        <v>0.0</v>
      </c>
      <c r="P364" s="31">
        <f>AT364+MIN(Z363+AJ364-AT364,MAX(0,ROUND(ROUND(Долги!$D$19-SUM($AL364:$AU364),2)-(SUM($H364:O364)-SUM($AL364:AS364)),2)))</f>
        <v>0.0</v>
      </c>
      <c r="Q364" s="31">
        <f>AU364+MIN(AA363+AK364-AU364,MAX(0,ROUND(ROUND(Долги!$D$19-SUM($AL364:$AU364),2)-(SUM($H364:P364)-SUM($AL364:AT364)),2)))</f>
        <v>0.0</v>
      </c>
      <c r="R364" s="31">
        <f>IF(R363+AB364-H364&lt;=0.01,0,ROUND(R363+AB364-H364,2))</f>
        <v>0.0</v>
      </c>
      <c r="S364" s="31">
        <f>IF(S363+AC364-I364&lt;=0.01,0,ROUND(S363+AC364-I364,2))</f>
        <v>0.0</v>
      </c>
      <c r="T364" s="31">
        <f>IF(T363+AD364-J364&lt;=0.01,0,ROUND(T363+AD364-J364,2))</f>
        <v>0.0</v>
      </c>
      <c r="U364" s="31">
        <f>IF(U363+AE364-K364&lt;=0.01,0,ROUND(U363+AE364-K364,2))</f>
        <v>0.0</v>
      </c>
      <c r="V364" s="31">
        <f>IF(V363+AF364-L364&lt;=0.01,0,ROUND(V363+AF364-L364,2))</f>
        <v>0.0</v>
      </c>
      <c r="W364" s="31">
        <f>IF(W363+AG364-M364&lt;=0.01,0,ROUND(W363+AG364-M364,2))</f>
        <v>0.0</v>
      </c>
      <c r="X364" s="31">
        <f>IF(X363+AH364-N364&lt;=0.01,0,ROUND(X363+AH364-N364,2))</f>
        <v>0.0</v>
      </c>
      <c r="Y364" s="31">
        <f>IF(Y363+AI364-O364&lt;=0.01,0,ROUND(Y363+AI364-O364,2))</f>
        <v>0.0</v>
      </c>
      <c r="Z364" s="31">
        <f>IF(Z363+AJ364-P364&lt;=0.01,0,ROUND(Z363+AJ364-P364,2))</f>
        <v>0.0</v>
      </c>
      <c r="AA364" s="31">
        <f>IF(AA363+AK364-Q364&lt;=0.01,0,ROUND(AA363+AK364-Q364,2))</f>
        <v>0.0</v>
      </c>
      <c r="AB364" s="31">
        <f>ROUND(R363*AB$5/1200,2)</f>
        <v>0.0</v>
      </c>
      <c r="AC364" s="31">
        <f>ROUND(S363*AC$5/1200,2)</f>
        <v>0.0</v>
      </c>
      <c r="AD364" s="31">
        <f>ROUND(T363*AD$5/1200,2)</f>
        <v>0.0</v>
      </c>
      <c r="AE364" s="31">
        <f>ROUND(U363*AE$5/1200,2)</f>
        <v>0.0</v>
      </c>
      <c r="AF364" s="31">
        <f>ROUND(V363*AF$5/1200,2)</f>
        <v>0.0</v>
      </c>
      <c r="AG364" s="31">
        <f>ROUND(W363*AG$5/1200,2)</f>
        <v>0.0</v>
      </c>
      <c r="AH364" s="31">
        <f>ROUND(X363*AH$5/1200,2)</f>
        <v>0.0</v>
      </c>
      <c r="AI364" s="31">
        <f>ROUND(Y363*AI$5/1200,2)</f>
        <v>0.0</v>
      </c>
      <c r="AJ364" s="31">
        <f>ROUND(Z363*AJ$5/1200,2)</f>
        <v>0.0</v>
      </c>
      <c r="AK364" s="31">
        <f>ROUND(AA363*AK$5/1200,2)</f>
        <v>0.0</v>
      </c>
      <c r="AL364" s="31">
        <f>MIN(AL$5,R363+AB364)</f>
        <v>0.0</v>
      </c>
      <c r="AM364" s="31">
        <f>MIN(AM$5,S363+AC364)</f>
        <v>0.0</v>
      </c>
      <c r="AN364" s="31">
        <f>MIN(AN$5,T363+AD364)</f>
        <v>0.0</v>
      </c>
      <c r="AO364" s="31">
        <f>MIN(AO$5,U363+AE364)</f>
        <v>0.0</v>
      </c>
      <c r="AP364" s="31">
        <f>MIN(AP$5,V363+AF364)</f>
        <v>0.0</v>
      </c>
      <c r="AQ364" s="31">
        <f>MIN(AQ$5,W363+AG364)</f>
        <v>0.0</v>
      </c>
      <c r="AR364" s="31">
        <f>MIN(AR$5,X363+AH364)</f>
        <v>0.0</v>
      </c>
      <c r="AS364" s="31">
        <f>MIN(AS$5,Y363+AI364)</f>
        <v>0.0</v>
      </c>
      <c r="AT364" s="31">
        <f>MIN(AT$5,Z363+AJ364)</f>
        <v>0.0</v>
      </c>
      <c r="AU364" s="31">
        <f>MIN(AU$5,AA363+AK364)</f>
        <v>0.0</v>
      </c>
    </row>
    <row r="365">
      <c r="A365" s="25" t="str">
        <f>IF(F364&gt;0.005,360,"")</f>
        <v/>
      </c>
      <c r="B365" s="33" t="str">
        <f>IF(A365="","",EDATE(Долги!$D$5,359))</f>
        <v/>
      </c>
      <c r="C365" s="31">
        <f>SUM(H365:Q365)</f>
        <v>0.0</v>
      </c>
      <c r="D365" s="31">
        <f>SUM(AB365:AK365)</f>
        <v>0.0</v>
      </c>
      <c r="E365" s="31">
        <f>C365-D365</f>
        <v>0.0</v>
      </c>
      <c r="F365" s="31">
        <f>SUM(R365:AA365)</f>
        <v>0.0</v>
      </c>
      <c r="G365" s="34" t="str">
        <f>IF(OR(A365="",$F$5&lt;=0),"",REPT("█",ROUND(20*F365/$F$5,0)))</f>
        <v/>
      </c>
      <c r="H365" s="31">
        <f>AL365+MIN(R364+AB365-AL365,MAX(0,ROUND(Долги!$D$19-SUM($AL365:$AU365),2)))</f>
        <v>0.0</v>
      </c>
      <c r="I365" s="31">
        <f>AM365+MIN(S364+AC365-AM365,MAX(0,ROUND(ROUND(Долги!$D$19-SUM($AL365:$AU365),2)-(SUM($H365:H365)-SUM($AL365:AL365)),2)))</f>
        <v>0.0</v>
      </c>
      <c r="J365" s="31">
        <f>AN365+MIN(T364+AD365-AN365,MAX(0,ROUND(ROUND(Долги!$D$19-SUM($AL365:$AU365),2)-(SUM($H365:I365)-SUM($AL365:AM365)),2)))</f>
        <v>0.0</v>
      </c>
      <c r="K365" s="31">
        <f>AO365+MIN(U364+AE365-AO365,MAX(0,ROUND(ROUND(Долги!$D$19-SUM($AL365:$AU365),2)-(SUM($H365:J365)-SUM($AL365:AN365)),2)))</f>
        <v>0.0</v>
      </c>
      <c r="L365" s="31">
        <f>AP365+MIN(V364+AF365-AP365,MAX(0,ROUND(ROUND(Долги!$D$19-SUM($AL365:$AU365),2)-(SUM($H365:K365)-SUM($AL365:AO365)),2)))</f>
        <v>0.0</v>
      </c>
      <c r="M365" s="31">
        <f>AQ365+MIN(W364+AG365-AQ365,MAX(0,ROUND(ROUND(Долги!$D$19-SUM($AL365:$AU365),2)-(SUM($H365:L365)-SUM($AL365:AP365)),2)))</f>
        <v>0.0</v>
      </c>
      <c r="N365" s="31">
        <f>AR365+MIN(X364+AH365-AR365,MAX(0,ROUND(ROUND(Долги!$D$19-SUM($AL365:$AU365),2)-(SUM($H365:M365)-SUM($AL365:AQ365)),2)))</f>
        <v>0.0</v>
      </c>
      <c r="O365" s="31">
        <f>AS365+MIN(Y364+AI365-AS365,MAX(0,ROUND(ROUND(Долги!$D$19-SUM($AL365:$AU365),2)-(SUM($H365:N365)-SUM($AL365:AR365)),2)))</f>
        <v>0.0</v>
      </c>
      <c r="P365" s="31">
        <f>AT365+MIN(Z364+AJ365-AT365,MAX(0,ROUND(ROUND(Долги!$D$19-SUM($AL365:$AU365),2)-(SUM($H365:O365)-SUM($AL365:AS365)),2)))</f>
        <v>0.0</v>
      </c>
      <c r="Q365" s="31">
        <f>AU365+MIN(AA364+AK365-AU365,MAX(0,ROUND(ROUND(Долги!$D$19-SUM($AL365:$AU365),2)-(SUM($H365:P365)-SUM($AL365:AT365)),2)))</f>
        <v>0.0</v>
      </c>
      <c r="R365" s="31">
        <f>IF(R364+AB365-H365&lt;=0.01,0,ROUND(R364+AB365-H365,2))</f>
        <v>0.0</v>
      </c>
      <c r="S365" s="31">
        <f>IF(S364+AC365-I365&lt;=0.01,0,ROUND(S364+AC365-I365,2))</f>
        <v>0.0</v>
      </c>
      <c r="T365" s="31">
        <f>IF(T364+AD365-J365&lt;=0.01,0,ROUND(T364+AD365-J365,2))</f>
        <v>0.0</v>
      </c>
      <c r="U365" s="31">
        <f>IF(U364+AE365-K365&lt;=0.01,0,ROUND(U364+AE365-K365,2))</f>
        <v>0.0</v>
      </c>
      <c r="V365" s="31">
        <f>IF(V364+AF365-L365&lt;=0.01,0,ROUND(V364+AF365-L365,2))</f>
        <v>0.0</v>
      </c>
      <c r="W365" s="31">
        <f>IF(W364+AG365-M365&lt;=0.01,0,ROUND(W364+AG365-M365,2))</f>
        <v>0.0</v>
      </c>
      <c r="X365" s="31">
        <f>IF(X364+AH365-N365&lt;=0.01,0,ROUND(X364+AH365-N365,2))</f>
        <v>0.0</v>
      </c>
      <c r="Y365" s="31">
        <f>IF(Y364+AI365-O365&lt;=0.01,0,ROUND(Y364+AI365-O365,2))</f>
        <v>0.0</v>
      </c>
      <c r="Z365" s="31">
        <f>IF(Z364+AJ365-P365&lt;=0.01,0,ROUND(Z364+AJ365-P365,2))</f>
        <v>0.0</v>
      </c>
      <c r="AA365" s="31">
        <f>IF(AA364+AK365-Q365&lt;=0.01,0,ROUND(AA364+AK365-Q365,2))</f>
        <v>0.0</v>
      </c>
      <c r="AB365" s="31">
        <f>ROUND(R364*AB$5/1200,2)</f>
        <v>0.0</v>
      </c>
      <c r="AC365" s="31">
        <f>ROUND(S364*AC$5/1200,2)</f>
        <v>0.0</v>
      </c>
      <c r="AD365" s="31">
        <f>ROUND(T364*AD$5/1200,2)</f>
        <v>0.0</v>
      </c>
      <c r="AE365" s="31">
        <f>ROUND(U364*AE$5/1200,2)</f>
        <v>0.0</v>
      </c>
      <c r="AF365" s="31">
        <f>ROUND(V364*AF$5/1200,2)</f>
        <v>0.0</v>
      </c>
      <c r="AG365" s="31">
        <f>ROUND(W364*AG$5/1200,2)</f>
        <v>0.0</v>
      </c>
      <c r="AH365" s="31">
        <f>ROUND(X364*AH$5/1200,2)</f>
        <v>0.0</v>
      </c>
      <c r="AI365" s="31">
        <f>ROUND(Y364*AI$5/1200,2)</f>
        <v>0.0</v>
      </c>
      <c r="AJ365" s="31">
        <f>ROUND(Z364*AJ$5/1200,2)</f>
        <v>0.0</v>
      </c>
      <c r="AK365" s="31">
        <f>ROUND(AA364*AK$5/1200,2)</f>
        <v>0.0</v>
      </c>
      <c r="AL365" s="31">
        <f>MIN(AL$5,R364+AB365)</f>
        <v>0.0</v>
      </c>
      <c r="AM365" s="31">
        <f>MIN(AM$5,S364+AC365)</f>
        <v>0.0</v>
      </c>
      <c r="AN365" s="31">
        <f>MIN(AN$5,T364+AD365)</f>
        <v>0.0</v>
      </c>
      <c r="AO365" s="31">
        <f>MIN(AO$5,U364+AE365)</f>
        <v>0.0</v>
      </c>
      <c r="AP365" s="31">
        <f>MIN(AP$5,V364+AF365)</f>
        <v>0.0</v>
      </c>
      <c r="AQ365" s="31">
        <f>MIN(AQ$5,W364+AG365)</f>
        <v>0.0</v>
      </c>
      <c r="AR365" s="31">
        <f>MIN(AR$5,X364+AH365)</f>
        <v>0.0</v>
      </c>
      <c r="AS365" s="31">
        <f>MIN(AS$5,Y364+AI365)</f>
        <v>0.0</v>
      </c>
      <c r="AT365" s="31">
        <f>MIN(AT$5,Z364+AJ365)</f>
        <v>0.0</v>
      </c>
      <c r="AU365" s="31">
        <f>MIN(AU$5,AA364+AK365)</f>
        <v>0.0</v>
      </c>
    </row>
  </sheetData>
  <conditionalFormatting sqref="R6:AA365">
    <cfRule type="expression" priority="1" dxfId="0">
      <formula>AND(R6=0,R5&gt;0)</formula>
    </cfRule>
  </conditionalFormatting>
  <conditionalFormatting sqref="H6:Q365">
    <cfRule type="expression" priority="2" dxfId="0">
      <formula>AND(R6=0,R5&gt;0)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365"/>
  <sheetViews>
    <sheetView workbookViewId="0">
      <pane xSplit="7" ySplit="5" topLeftCell="H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3" customWidth="1" min="3" max="3"/>
    <col width="12" customWidth="1" min="4" max="4"/>
    <col width="13" customWidth="1" min="5" max="5"/>
    <col width="14" customWidth="1" min="6" max="6"/>
    <col width="17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  <col width="15" customWidth="1" min="31" max="31"/>
    <col width="15" customWidth="1" min="32" max="32"/>
    <col width="15" customWidth="1" min="33" max="33"/>
    <col width="15" customWidth="1" min="34" max="34"/>
    <col width="15" customWidth="1" min="35" max="35"/>
    <col width="15" customWidth="1" min="36" max="36"/>
    <col width="15" customWidth="1" min="37" max="37"/>
    <col hidden="1" width="15" customWidth="1" min="38" max="38"/>
    <col hidden="1" width="15" customWidth="1" min="39" max="39"/>
    <col hidden="1" width="15" customWidth="1" min="40" max="40"/>
    <col hidden="1" width="15" customWidth="1" min="41" max="41"/>
    <col hidden="1" width="15" customWidth="1" min="42" max="42"/>
    <col hidden="1" width="15" customWidth="1" min="43" max="43"/>
    <col hidden="1" width="15" customWidth="1" min="44" max="44"/>
    <col hidden="1" width="15" customWidth="1" min="45" max="45"/>
    <col hidden="1" width="15" customWidth="1" min="46" max="46"/>
    <col hidden="1" width="15" customWidth="1" min="47" max="47"/>
  </cols>
  <sheetData>
    <row r="1">
      <c r="A1" s="27" t="inlineStr">
        <is>
          <t>График по методу «лавина»: доплата идёт в долг с самой высокой ставкой</t>
        </is>
      </c>
    </row>
    <row r="2">
      <c r="H2" s="28" t="inlineStr">
        <is>
          <t>Платежи по долгам</t>
        </is>
      </c>
      <c r="R2" s="28" t="inlineStr">
        <is>
          <t>Остатки по долгам</t>
        </is>
      </c>
      <c r="AB2" s="28" t="inlineStr">
        <is>
          <t>Проценты по долгам</t>
        </is>
      </c>
      <c r="AL2" s="28" t="inlineStr">
        <is>
          <t>Служебное: обязательный платёж</t>
        </is>
      </c>
    </row>
    <row r="3">
      <c r="A3" s="2" t="inlineStr">
        <is>
          <t>Закроется через (мес.)</t>
        </is>
      </c>
      <c r="R3" s="29">
        <f>IF(R$5&gt;0,IF(R$365&gt;0,"более 30 лет",COUNTIF(R$6:R$365,"&gt;0")+1),"")</f>
        <v>15</v>
      </c>
      <c r="S3" s="29">
        <f>IF(S$5&gt;0,IF(S$365&gt;0,"более 30 лет",COUNTIF(S$6:S$365,"&gt;0")+1),"")</f>
        <v>19</v>
      </c>
      <c r="T3" s="29">
        <f>IF(T$5&gt;0,IF(T$365&gt;0,"более 30 лет",COUNTIF(T$6:T$365,"&gt;0")+1),"")</f>
        <v>10</v>
      </c>
      <c r="U3" s="29" t="str">
        <f>IF(U$5&gt;0,IF(U$365&gt;0,"более 30 лет",COUNTIF(U$6:U$365,"&gt;0")+1),"")</f>
        <v/>
      </c>
      <c r="V3" s="29" t="str">
        <f>IF(V$5&gt;0,IF(V$365&gt;0,"более 30 лет",COUNTIF(V$6:V$365,"&gt;0")+1),"")</f>
        <v/>
      </c>
      <c r="W3" s="29" t="str">
        <f>IF(W$5&gt;0,IF(W$365&gt;0,"более 30 лет",COUNTIF(W$6:W$365,"&gt;0")+1),"")</f>
        <v/>
      </c>
      <c r="X3" s="29" t="str">
        <f>IF(X$5&gt;0,IF(X$365&gt;0,"более 30 лет",COUNTIF(X$6:X$365,"&gt;0")+1),"")</f>
        <v/>
      </c>
      <c r="Y3" s="29" t="str">
        <f>IF(Y$5&gt;0,IF(Y$365&gt;0,"более 30 лет",COUNTIF(Y$6:Y$365,"&gt;0")+1),"")</f>
        <v/>
      </c>
      <c r="Z3" s="29" t="str">
        <f>IF(Z$5&gt;0,IF(Z$365&gt;0,"более 30 лет",COUNTIF(Z$6:Z$365,"&gt;0")+1),"")</f>
        <v/>
      </c>
      <c r="AA3" s="29" t="str">
        <f>IF(AA$5&gt;0,IF(AA$365&gt;0,"более 30 лет",COUNTIF(AA$6:AA$365,"&gt;0")+1),"")</f>
        <v/>
      </c>
    </row>
    <row r="4" ht="32" customHeight="1">
      <c r="A4" s="30" t="inlineStr">
        <is>
          <t>№</t>
        </is>
      </c>
      <c r="B4" s="30" t="inlineStr">
        <is>
          <t>Месяц</t>
        </is>
      </c>
      <c r="C4" s="30" t="inlineStr">
        <is>
          <t>Платёж</t>
        </is>
      </c>
      <c r="D4" s="30" t="inlineStr">
        <is>
          <t>Проценты</t>
        </is>
      </c>
      <c r="E4" s="30" t="inlineStr">
        <is>
          <t>В тело долга</t>
        </is>
      </c>
      <c r="F4" s="30" t="inlineStr">
        <is>
          <t>Остаток</t>
        </is>
      </c>
      <c r="G4" s="30" t="inlineStr">
        <is>
          <t>Осталось</t>
        </is>
      </c>
      <c r="H4" s="17" t="str">
        <f>IFERROR(INDEX(Долги!$A$8:$A$17,MATCH(1,Долги!$G$8:$G$17,0)),"—")</f>
        <v>Кредитная карта</v>
      </c>
      <c r="I4" s="17" t="str">
        <f>IFERROR(INDEX(Долги!$A$8:$A$17,MATCH(2,Долги!$G$8:$G$17,0)),"—")</f>
        <v>Потребкредит</v>
      </c>
      <c r="J4" s="17" t="str">
        <f>IFERROR(INDEX(Долги!$A$8:$A$17,MATCH(3,Долги!$G$8:$G$17,0)),"—")</f>
        <v>Рассрочка на технику</v>
      </c>
      <c r="K4" s="17" t="str">
        <f>IFERROR(INDEX(Долги!$A$8:$A$17,MATCH(4,Долги!$G$8:$G$17,0)),"—")</f>
        <v>—</v>
      </c>
      <c r="L4" s="17" t="str">
        <f>IFERROR(INDEX(Долги!$A$8:$A$17,MATCH(5,Долги!$G$8:$G$17,0)),"—")</f>
        <v>—</v>
      </c>
      <c r="M4" s="17" t="str">
        <f>IFERROR(INDEX(Долги!$A$8:$A$17,MATCH(6,Долги!$G$8:$G$17,0)),"—")</f>
        <v>—</v>
      </c>
      <c r="N4" s="17" t="str">
        <f>IFERROR(INDEX(Долги!$A$8:$A$17,MATCH(7,Долги!$G$8:$G$17,0)),"—")</f>
        <v>—</v>
      </c>
      <c r="O4" s="17" t="str">
        <f>IFERROR(INDEX(Долги!$A$8:$A$17,MATCH(8,Долги!$G$8:$G$17,0)),"—")</f>
        <v>—</v>
      </c>
      <c r="P4" s="17" t="str">
        <f>IFERROR(INDEX(Долги!$A$8:$A$17,MATCH(9,Долги!$G$8:$G$17,0)),"—")</f>
        <v>—</v>
      </c>
      <c r="Q4" s="17" t="str">
        <f>IFERROR(INDEX(Долги!$A$8:$A$17,MATCH(10,Долги!$G$8:$G$17,0)),"—")</f>
        <v>—</v>
      </c>
      <c r="R4" s="17" t="str">
        <f>IFERROR(INDEX(Долги!$A$8:$A$17,MATCH(1,Долги!$G$8:$G$17,0)),"—")</f>
        <v>Кредитная карта</v>
      </c>
      <c r="S4" s="17" t="str">
        <f>IFERROR(INDEX(Долги!$A$8:$A$17,MATCH(2,Долги!$G$8:$G$17,0)),"—")</f>
        <v>Потребкредит</v>
      </c>
      <c r="T4" s="17" t="str">
        <f>IFERROR(INDEX(Долги!$A$8:$A$17,MATCH(3,Долги!$G$8:$G$17,0)),"—")</f>
        <v>Рассрочка на технику</v>
      </c>
      <c r="U4" s="17" t="str">
        <f>IFERROR(INDEX(Долги!$A$8:$A$17,MATCH(4,Долги!$G$8:$G$17,0)),"—")</f>
        <v>—</v>
      </c>
      <c r="V4" s="17" t="str">
        <f>IFERROR(INDEX(Долги!$A$8:$A$17,MATCH(5,Долги!$G$8:$G$17,0)),"—")</f>
        <v>—</v>
      </c>
      <c r="W4" s="17" t="str">
        <f>IFERROR(INDEX(Долги!$A$8:$A$17,MATCH(6,Долги!$G$8:$G$17,0)),"—")</f>
        <v>—</v>
      </c>
      <c r="X4" s="17" t="str">
        <f>IFERROR(INDEX(Долги!$A$8:$A$17,MATCH(7,Долги!$G$8:$G$17,0)),"—")</f>
        <v>—</v>
      </c>
      <c r="Y4" s="17" t="str">
        <f>IFERROR(INDEX(Долги!$A$8:$A$17,MATCH(8,Долги!$G$8:$G$17,0)),"—")</f>
        <v>—</v>
      </c>
      <c r="Z4" s="17" t="str">
        <f>IFERROR(INDEX(Долги!$A$8:$A$17,MATCH(9,Долги!$G$8:$G$17,0)),"—")</f>
        <v>—</v>
      </c>
      <c r="AA4" s="17" t="str">
        <f>IFERROR(INDEX(Долги!$A$8:$A$17,MATCH(10,Долги!$G$8:$G$17,0)),"—")</f>
        <v>—</v>
      </c>
      <c r="AB4" s="17" t="str">
        <f>IFERROR(INDEX(Долги!$A$8:$A$17,MATCH(1,Долги!$G$8:$G$17,0)),"—")</f>
        <v>Кредитная карта</v>
      </c>
      <c r="AC4" s="17" t="str">
        <f>IFERROR(INDEX(Долги!$A$8:$A$17,MATCH(2,Долги!$G$8:$G$17,0)),"—")</f>
        <v>Потребкредит</v>
      </c>
      <c r="AD4" s="17" t="str">
        <f>IFERROR(INDEX(Долги!$A$8:$A$17,MATCH(3,Долги!$G$8:$G$17,0)),"—")</f>
        <v>Рассрочка на технику</v>
      </c>
      <c r="AE4" s="17" t="str">
        <f>IFERROR(INDEX(Долги!$A$8:$A$17,MATCH(4,Долги!$G$8:$G$17,0)),"—")</f>
        <v>—</v>
      </c>
      <c r="AF4" s="17" t="str">
        <f>IFERROR(INDEX(Долги!$A$8:$A$17,MATCH(5,Долги!$G$8:$G$17,0)),"—")</f>
        <v>—</v>
      </c>
      <c r="AG4" s="17" t="str">
        <f>IFERROR(INDEX(Долги!$A$8:$A$17,MATCH(6,Долги!$G$8:$G$17,0)),"—")</f>
        <v>—</v>
      </c>
      <c r="AH4" s="17" t="str">
        <f>IFERROR(INDEX(Долги!$A$8:$A$17,MATCH(7,Долги!$G$8:$G$17,0)),"—")</f>
        <v>—</v>
      </c>
      <c r="AI4" s="17" t="str">
        <f>IFERROR(INDEX(Долги!$A$8:$A$17,MATCH(8,Долги!$G$8:$G$17,0)),"—")</f>
        <v>—</v>
      </c>
      <c r="AJ4" s="17" t="str">
        <f>IFERROR(INDEX(Долги!$A$8:$A$17,MATCH(9,Долги!$G$8:$G$17,0)),"—")</f>
        <v>—</v>
      </c>
      <c r="AK4" s="17" t="str">
        <f>IFERROR(INDEX(Долги!$A$8:$A$17,MATCH(10,Долги!$G$8:$G$17,0)),"—")</f>
        <v>—</v>
      </c>
      <c r="AL4" s="17" t="str">
        <f>IFERROR(INDEX(Долги!$A$8:$A$17,MATCH(1,Долги!$G$8:$G$17,0)),"—")</f>
        <v>Кредитная карта</v>
      </c>
      <c r="AM4" s="17" t="str">
        <f>IFERROR(INDEX(Долги!$A$8:$A$17,MATCH(2,Долги!$G$8:$G$17,0)),"—")</f>
        <v>Потребкредит</v>
      </c>
      <c r="AN4" s="17" t="str">
        <f>IFERROR(INDEX(Долги!$A$8:$A$17,MATCH(3,Долги!$G$8:$G$17,0)),"—")</f>
        <v>Рассрочка на технику</v>
      </c>
      <c r="AO4" s="17" t="str">
        <f>IFERROR(INDEX(Долги!$A$8:$A$17,MATCH(4,Долги!$G$8:$G$17,0)),"—")</f>
        <v>—</v>
      </c>
      <c r="AP4" s="17" t="str">
        <f>IFERROR(INDEX(Долги!$A$8:$A$17,MATCH(5,Долги!$G$8:$G$17,0)),"—")</f>
        <v>—</v>
      </c>
      <c r="AQ4" s="17" t="str">
        <f>IFERROR(INDEX(Долги!$A$8:$A$17,MATCH(6,Долги!$G$8:$G$17,0)),"—")</f>
        <v>—</v>
      </c>
      <c r="AR4" s="17" t="str">
        <f>IFERROR(INDEX(Долги!$A$8:$A$17,MATCH(7,Долги!$G$8:$G$17,0)),"—")</f>
        <v>—</v>
      </c>
      <c r="AS4" s="17" t="str">
        <f>IFERROR(INDEX(Долги!$A$8:$A$17,MATCH(8,Долги!$G$8:$G$17,0)),"—")</f>
        <v>—</v>
      </c>
      <c r="AT4" s="17" t="str">
        <f>IFERROR(INDEX(Долги!$A$8:$A$17,MATCH(9,Долги!$G$8:$G$17,0)),"—")</f>
        <v>—</v>
      </c>
      <c r="AU4" s="17" t="str">
        <f>IFERROR(INDEX(Долги!$A$8:$A$17,MATCH(10,Долги!$G$8:$G$17,0)),"—")</f>
        <v>—</v>
      </c>
    </row>
    <row r="5">
      <c r="B5" s="2" t="inlineStr">
        <is>
          <t>старт</t>
        </is>
      </c>
      <c r="F5" s="31">
        <f>SUM(R5:AA5)</f>
        <v>470000.0</v>
      </c>
      <c r="R5" s="31">
        <f>IFERROR(INDEX(Долги!$B$8:$B$17,MATCH(1,Долги!$G$8:$G$17,0)),0)</f>
        <v>250000</v>
      </c>
      <c r="S5" s="31">
        <f>IFERROR(INDEX(Долги!$B$8:$B$17,MATCH(2,Долги!$G$8:$G$17,0)),0)</f>
        <v>180000</v>
      </c>
      <c r="T5" s="31">
        <f>IFERROR(INDEX(Долги!$B$8:$B$17,MATCH(3,Долги!$G$8:$G$17,0)),0)</f>
        <v>40000</v>
      </c>
      <c r="U5" s="31">
        <f>IFERROR(INDEX(Долги!$B$8:$B$17,MATCH(4,Долги!$G$8:$G$17,0)),0)</f>
        <v>0</v>
      </c>
      <c r="V5" s="31">
        <f>IFERROR(INDEX(Долги!$B$8:$B$17,MATCH(5,Долги!$G$8:$G$17,0)),0)</f>
        <v>0</v>
      </c>
      <c r="W5" s="31">
        <f>IFERROR(INDEX(Долги!$B$8:$B$17,MATCH(6,Долги!$G$8:$G$17,0)),0)</f>
        <v>0</v>
      </c>
      <c r="X5" s="31">
        <f>IFERROR(INDEX(Долги!$B$8:$B$17,MATCH(7,Долги!$G$8:$G$17,0)),0)</f>
        <v>0</v>
      </c>
      <c r="Y5" s="31">
        <f>IFERROR(INDEX(Долги!$B$8:$B$17,MATCH(8,Долги!$G$8:$G$17,0)),0)</f>
        <v>0</v>
      </c>
      <c r="Z5" s="31">
        <f>IFERROR(INDEX(Долги!$B$8:$B$17,MATCH(9,Долги!$G$8:$G$17,0)),0)</f>
        <v>0</v>
      </c>
      <c r="AA5" s="31">
        <f>IFERROR(INDEX(Долги!$B$8:$B$17,MATCH(10,Долги!$G$8:$G$17,0)),0)</f>
        <v>0</v>
      </c>
      <c r="AB5" s="32">
        <f>IFERROR(INDEX(Долги!$C$8:$C$17,MATCH(1,Долги!$G$8:$G$17,0)),0)</f>
        <v>39.9</v>
      </c>
      <c r="AC5" s="32">
        <f>IFERROR(INDEX(Долги!$C$8:$C$17,MATCH(2,Долги!$G$8:$G$17,0)),0)</f>
        <v>19</v>
      </c>
      <c r="AD5" s="32">
        <f>IFERROR(INDEX(Долги!$C$8:$C$17,MATCH(3,Долги!$G$8:$G$17,0)),0)</f>
        <v>0</v>
      </c>
      <c r="AE5" s="32">
        <f>IFERROR(INDEX(Долги!$C$8:$C$17,MATCH(4,Долги!$G$8:$G$17,0)),0)</f>
        <v>0</v>
      </c>
      <c r="AF5" s="32">
        <f>IFERROR(INDEX(Долги!$C$8:$C$17,MATCH(5,Долги!$G$8:$G$17,0)),0)</f>
        <v>0</v>
      </c>
      <c r="AG5" s="32">
        <f>IFERROR(INDEX(Долги!$C$8:$C$17,MATCH(6,Долги!$G$8:$G$17,0)),0)</f>
        <v>0</v>
      </c>
      <c r="AH5" s="32">
        <f>IFERROR(INDEX(Долги!$C$8:$C$17,MATCH(7,Долги!$G$8:$G$17,0)),0)</f>
        <v>0</v>
      </c>
      <c r="AI5" s="32">
        <f>IFERROR(INDEX(Долги!$C$8:$C$17,MATCH(8,Долги!$G$8:$G$17,0)),0)</f>
        <v>0</v>
      </c>
      <c r="AJ5" s="32">
        <f>IFERROR(INDEX(Долги!$C$8:$C$17,MATCH(9,Долги!$G$8:$G$17,0)),0)</f>
        <v>0</v>
      </c>
      <c r="AK5" s="32">
        <f>IFERROR(INDEX(Долги!$C$8:$C$17,MATCH(10,Долги!$G$8:$G$17,0)),0)</f>
        <v>0</v>
      </c>
      <c r="AL5" s="31">
        <f>IFERROR(INDEX(Долги!$D$8:$D$17,MATCH(1,Долги!$G$8:$G$17,0)),0)</f>
        <v>12500</v>
      </c>
      <c r="AM5" s="31">
        <f>IFERROR(INDEX(Долги!$D$8:$D$17,MATCH(2,Долги!$G$8:$G$17,0)),0)</f>
        <v>6500</v>
      </c>
      <c r="AN5" s="31">
        <f>IFERROR(INDEX(Долги!$D$8:$D$17,MATCH(3,Долги!$G$8:$G$17,0)),0)</f>
        <v>4000</v>
      </c>
      <c r="AO5" s="31">
        <f>IFERROR(INDEX(Долги!$D$8:$D$17,MATCH(4,Долги!$G$8:$G$17,0)),0)</f>
        <v>0</v>
      </c>
      <c r="AP5" s="31">
        <f>IFERROR(INDEX(Долги!$D$8:$D$17,MATCH(5,Долги!$G$8:$G$17,0)),0)</f>
        <v>0</v>
      </c>
      <c r="AQ5" s="31">
        <f>IFERROR(INDEX(Долги!$D$8:$D$17,MATCH(6,Долги!$G$8:$G$17,0)),0)</f>
        <v>0</v>
      </c>
      <c r="AR5" s="31">
        <f>IFERROR(INDEX(Долги!$D$8:$D$17,MATCH(7,Долги!$G$8:$G$17,0)),0)</f>
        <v>0</v>
      </c>
      <c r="AS5" s="31">
        <f>IFERROR(INDEX(Долги!$D$8:$D$17,MATCH(8,Долги!$G$8:$G$17,0)),0)</f>
        <v>0</v>
      </c>
      <c r="AT5" s="31">
        <f>IFERROR(INDEX(Долги!$D$8:$D$17,MATCH(9,Долги!$G$8:$G$17,0)),0)</f>
        <v>0</v>
      </c>
      <c r="AU5" s="31">
        <f>IFERROR(INDEX(Долги!$D$8:$D$17,MATCH(10,Долги!$G$8:$G$17,0)),0)</f>
        <v>0</v>
      </c>
    </row>
    <row r="6">
      <c r="A6" s="25">
        <f>IF(F5&gt;0.005,1,"")</f>
        <v>1</v>
      </c>
      <c r="B6" s="33">
        <f>IF(A6="","",EDATE(Долги!$D$5,0))</f>
        <v>46296</v>
      </c>
      <c r="C6" s="31">
        <f>SUM(H6:Q6)</f>
        <v>31000.0</v>
      </c>
      <c r="D6" s="31">
        <f>SUM(AB6:AK6)</f>
        <v>11162.5</v>
      </c>
      <c r="E6" s="31">
        <f>C6-D6</f>
        <v>19837.5</v>
      </c>
      <c r="F6" s="31">
        <f>SUM(R6:AA6)</f>
        <v>450162.5</v>
      </c>
      <c r="G6" s="34" t="str">
        <f>IF(OR(A6="",$F$5&lt;=0),"",REPT("█",ROUND(20*F6/$F$5,0)))</f>
        <v>███████████████████</v>
      </c>
      <c r="H6" s="31">
        <f>AL6+MIN(R5+AB6-AL6,MAX(0,ROUND(Долги!$D$19-SUM($AL6:$AU6),2)))</f>
        <v>20500.0</v>
      </c>
      <c r="I6" s="31">
        <f>AM6+MIN(S5+AC6-AM6,MAX(0,ROUND(ROUND(Долги!$D$19-SUM($AL6:$AU6),2)-(SUM($H6:H6)-SUM($AL6:AL6)),2)))</f>
        <v>6500.0</v>
      </c>
      <c r="J6" s="31">
        <f>AN6+MIN(T5+AD6-AN6,MAX(0,ROUND(ROUND(Долги!$D$19-SUM($AL6:$AU6),2)-(SUM($H6:I6)-SUM($AL6:AM6)),2)))</f>
        <v>4000.0</v>
      </c>
      <c r="K6" s="31">
        <f>AO6+MIN(U5+AE6-AO6,MAX(0,ROUND(ROUND(Долги!$D$19-SUM($AL6:$AU6),2)-(SUM($H6:J6)-SUM($AL6:AN6)),2)))</f>
        <v>0.0</v>
      </c>
      <c r="L6" s="31">
        <f>AP6+MIN(V5+AF6-AP6,MAX(0,ROUND(ROUND(Долги!$D$19-SUM($AL6:$AU6),2)-(SUM($H6:K6)-SUM($AL6:AO6)),2)))</f>
        <v>0.0</v>
      </c>
      <c r="M6" s="31">
        <f>AQ6+MIN(W5+AG6-AQ6,MAX(0,ROUND(ROUND(Долги!$D$19-SUM($AL6:$AU6),2)-(SUM($H6:L6)-SUM($AL6:AP6)),2)))</f>
        <v>0.0</v>
      </c>
      <c r="N6" s="31">
        <f>AR6+MIN(X5+AH6-AR6,MAX(0,ROUND(ROUND(Долги!$D$19-SUM($AL6:$AU6),2)-(SUM($H6:M6)-SUM($AL6:AQ6)),2)))</f>
        <v>0.0</v>
      </c>
      <c r="O6" s="31">
        <f>AS6+MIN(Y5+AI6-AS6,MAX(0,ROUND(ROUND(Долги!$D$19-SUM($AL6:$AU6),2)-(SUM($H6:N6)-SUM($AL6:AR6)),2)))</f>
        <v>0.0</v>
      </c>
      <c r="P6" s="31">
        <f>AT6+MIN(Z5+AJ6-AT6,MAX(0,ROUND(ROUND(Долги!$D$19-SUM($AL6:$AU6),2)-(SUM($H6:O6)-SUM($AL6:AS6)),2)))</f>
        <v>0.0</v>
      </c>
      <c r="Q6" s="31">
        <f>AU6+MIN(AA5+AK6-AU6,MAX(0,ROUND(ROUND(Долги!$D$19-SUM($AL6:$AU6),2)-(SUM($H6:P6)-SUM($AL6:AT6)),2)))</f>
        <v>0.0</v>
      </c>
      <c r="R6" s="31">
        <f>IF(R5+AB6-H6&lt;=0.01,0,ROUND(R5+AB6-H6,2))</f>
        <v>237812.5</v>
      </c>
      <c r="S6" s="31">
        <f>IF(S5+AC6-I6&lt;=0.01,0,ROUND(S5+AC6-I6,2))</f>
        <v>176350.0</v>
      </c>
      <c r="T6" s="31">
        <f>IF(T5+AD6-J6&lt;=0.01,0,ROUND(T5+AD6-J6,2))</f>
        <v>36000.0</v>
      </c>
      <c r="U6" s="31">
        <f>IF(U5+AE6-K6&lt;=0.01,0,ROUND(U5+AE6-K6,2))</f>
        <v>0.0</v>
      </c>
      <c r="V6" s="31">
        <f>IF(V5+AF6-L6&lt;=0.01,0,ROUND(V5+AF6-L6,2))</f>
        <v>0.0</v>
      </c>
      <c r="W6" s="31">
        <f>IF(W5+AG6-M6&lt;=0.01,0,ROUND(W5+AG6-M6,2))</f>
        <v>0.0</v>
      </c>
      <c r="X6" s="31">
        <f>IF(X5+AH6-N6&lt;=0.01,0,ROUND(X5+AH6-N6,2))</f>
        <v>0.0</v>
      </c>
      <c r="Y6" s="31">
        <f>IF(Y5+AI6-O6&lt;=0.01,0,ROUND(Y5+AI6-O6,2))</f>
        <v>0.0</v>
      </c>
      <c r="Z6" s="31">
        <f>IF(Z5+AJ6-P6&lt;=0.01,0,ROUND(Z5+AJ6-P6,2))</f>
        <v>0.0</v>
      </c>
      <c r="AA6" s="31">
        <f>IF(AA5+AK6-Q6&lt;=0.01,0,ROUND(AA5+AK6-Q6,2))</f>
        <v>0.0</v>
      </c>
      <c r="AB6" s="31">
        <f>ROUND(R5*AB$5/1200,2)</f>
        <v>8312.5</v>
      </c>
      <c r="AC6" s="31">
        <f>ROUND(S5*AC$5/1200,2)</f>
        <v>2850.0</v>
      </c>
      <c r="AD6" s="31">
        <f>ROUND(T5*AD$5/1200,2)</f>
        <v>0.0</v>
      </c>
      <c r="AE6" s="31">
        <f>ROUND(U5*AE$5/1200,2)</f>
        <v>0.0</v>
      </c>
      <c r="AF6" s="31">
        <f>ROUND(V5*AF$5/1200,2)</f>
        <v>0.0</v>
      </c>
      <c r="AG6" s="31">
        <f>ROUND(W5*AG$5/1200,2)</f>
        <v>0.0</v>
      </c>
      <c r="AH6" s="31">
        <f>ROUND(X5*AH$5/1200,2)</f>
        <v>0.0</v>
      </c>
      <c r="AI6" s="31">
        <f>ROUND(Y5*AI$5/1200,2)</f>
        <v>0.0</v>
      </c>
      <c r="AJ6" s="31">
        <f>ROUND(Z5*AJ$5/1200,2)</f>
        <v>0.0</v>
      </c>
      <c r="AK6" s="31">
        <f>ROUND(AA5*AK$5/1200,2)</f>
        <v>0.0</v>
      </c>
      <c r="AL6" s="31">
        <f>MIN(AL$5,R5+AB6)</f>
        <v>12500.0</v>
      </c>
      <c r="AM6" s="31">
        <f>MIN(AM$5,S5+AC6)</f>
        <v>6500.0</v>
      </c>
      <c r="AN6" s="31">
        <f>MIN(AN$5,T5+AD6)</f>
        <v>4000.0</v>
      </c>
      <c r="AO6" s="31">
        <f>MIN(AO$5,U5+AE6)</f>
        <v>0.0</v>
      </c>
      <c r="AP6" s="31">
        <f>MIN(AP$5,V5+AF6)</f>
        <v>0.0</v>
      </c>
      <c r="AQ6" s="31">
        <f>MIN(AQ$5,W5+AG6)</f>
        <v>0.0</v>
      </c>
      <c r="AR6" s="31">
        <f>MIN(AR$5,X5+AH6)</f>
        <v>0.0</v>
      </c>
      <c r="AS6" s="31">
        <f>MIN(AS$5,Y5+AI6)</f>
        <v>0.0</v>
      </c>
      <c r="AT6" s="31">
        <f>MIN(AT$5,Z5+AJ6)</f>
        <v>0.0</v>
      </c>
      <c r="AU6" s="31">
        <f>MIN(AU$5,AA5+AK6)</f>
        <v>0.0</v>
      </c>
    </row>
    <row r="7">
      <c r="A7" s="25">
        <f>IF(F6&gt;0.005,2,"")</f>
        <v>2</v>
      </c>
      <c r="B7" s="33">
        <f>IF(A7="","",EDATE(Долги!$D$5,1))</f>
        <v>46327</v>
      </c>
      <c r="C7" s="31">
        <f>SUM(H7:Q7)</f>
        <v>31000.0</v>
      </c>
      <c r="D7" s="31">
        <f>SUM(AB7:AK7)</f>
        <v>10699.48</v>
      </c>
      <c r="E7" s="31">
        <f>C7-D7</f>
        <v>20300.52</v>
      </c>
      <c r="F7" s="31">
        <f>SUM(R7:AA7)</f>
        <v>429861.98</v>
      </c>
      <c r="G7" s="34" t="str">
        <f>IF(OR(A7="",$F$5&lt;=0),"",REPT("█",ROUND(20*F7/$F$5,0)))</f>
        <v>██████████████████</v>
      </c>
      <c r="H7" s="31">
        <f>AL7+MIN(R6+AB7-AL7,MAX(0,ROUND(Долги!$D$19-SUM($AL7:$AU7),2)))</f>
        <v>20500.0</v>
      </c>
      <c r="I7" s="31">
        <f>AM7+MIN(S6+AC7-AM7,MAX(0,ROUND(ROUND(Долги!$D$19-SUM($AL7:$AU7),2)-(SUM($H7:H7)-SUM($AL7:AL7)),2)))</f>
        <v>6500.0</v>
      </c>
      <c r="J7" s="31">
        <f>AN7+MIN(T6+AD7-AN7,MAX(0,ROUND(ROUND(Долги!$D$19-SUM($AL7:$AU7),2)-(SUM($H7:I7)-SUM($AL7:AM7)),2)))</f>
        <v>4000.0</v>
      </c>
      <c r="K7" s="31">
        <f>AO7+MIN(U6+AE7-AO7,MAX(0,ROUND(ROUND(Долги!$D$19-SUM($AL7:$AU7),2)-(SUM($H7:J7)-SUM($AL7:AN7)),2)))</f>
        <v>0.0</v>
      </c>
      <c r="L7" s="31">
        <f>AP7+MIN(V6+AF7-AP7,MAX(0,ROUND(ROUND(Долги!$D$19-SUM($AL7:$AU7),2)-(SUM($H7:K7)-SUM($AL7:AO7)),2)))</f>
        <v>0.0</v>
      </c>
      <c r="M7" s="31">
        <f>AQ7+MIN(W6+AG7-AQ7,MAX(0,ROUND(ROUND(Долги!$D$19-SUM($AL7:$AU7),2)-(SUM($H7:L7)-SUM($AL7:AP7)),2)))</f>
        <v>0.0</v>
      </c>
      <c r="N7" s="31">
        <f>AR7+MIN(X6+AH7-AR7,MAX(0,ROUND(ROUND(Долги!$D$19-SUM($AL7:$AU7),2)-(SUM($H7:M7)-SUM($AL7:AQ7)),2)))</f>
        <v>0.0</v>
      </c>
      <c r="O7" s="31">
        <f>AS7+MIN(Y6+AI7-AS7,MAX(0,ROUND(ROUND(Долги!$D$19-SUM($AL7:$AU7),2)-(SUM($H7:N7)-SUM($AL7:AR7)),2)))</f>
        <v>0.0</v>
      </c>
      <c r="P7" s="31">
        <f>AT7+MIN(Z6+AJ7-AT7,MAX(0,ROUND(ROUND(Долги!$D$19-SUM($AL7:$AU7),2)-(SUM($H7:O7)-SUM($AL7:AS7)),2)))</f>
        <v>0.0</v>
      </c>
      <c r="Q7" s="31">
        <f>AU7+MIN(AA6+AK7-AU7,MAX(0,ROUND(ROUND(Долги!$D$19-SUM($AL7:$AU7),2)-(SUM($H7:P7)-SUM($AL7:AT7)),2)))</f>
        <v>0.0</v>
      </c>
      <c r="R7" s="31">
        <f>IF(R6+AB7-H7&lt;=0.01,0,ROUND(R6+AB7-H7,2))</f>
        <v>225219.77</v>
      </c>
      <c r="S7" s="31">
        <f>IF(S6+AC7-I7&lt;=0.01,0,ROUND(S6+AC7-I7,2))</f>
        <v>172642.21</v>
      </c>
      <c r="T7" s="31">
        <f>IF(T6+AD7-J7&lt;=0.01,0,ROUND(T6+AD7-J7,2))</f>
        <v>32000.0</v>
      </c>
      <c r="U7" s="31">
        <f>IF(U6+AE7-K7&lt;=0.01,0,ROUND(U6+AE7-K7,2))</f>
        <v>0.0</v>
      </c>
      <c r="V7" s="31">
        <f>IF(V6+AF7-L7&lt;=0.01,0,ROUND(V6+AF7-L7,2))</f>
        <v>0.0</v>
      </c>
      <c r="W7" s="31">
        <f>IF(W6+AG7-M7&lt;=0.01,0,ROUND(W6+AG7-M7,2))</f>
        <v>0.0</v>
      </c>
      <c r="X7" s="31">
        <f>IF(X6+AH7-N7&lt;=0.01,0,ROUND(X6+AH7-N7,2))</f>
        <v>0.0</v>
      </c>
      <c r="Y7" s="31">
        <f>IF(Y6+AI7-O7&lt;=0.01,0,ROUND(Y6+AI7-O7,2))</f>
        <v>0.0</v>
      </c>
      <c r="Z7" s="31">
        <f>IF(Z6+AJ7-P7&lt;=0.01,0,ROUND(Z6+AJ7-P7,2))</f>
        <v>0.0</v>
      </c>
      <c r="AA7" s="31">
        <f>IF(AA6+AK7-Q7&lt;=0.01,0,ROUND(AA6+AK7-Q7,2))</f>
        <v>0.0</v>
      </c>
      <c r="AB7" s="31">
        <f>ROUND(R6*AB$5/1200,2)</f>
        <v>7907.27</v>
      </c>
      <c r="AC7" s="31">
        <f>ROUND(S6*AC$5/1200,2)</f>
        <v>2792.21</v>
      </c>
      <c r="AD7" s="31">
        <f>ROUND(T6*AD$5/1200,2)</f>
        <v>0.0</v>
      </c>
      <c r="AE7" s="31">
        <f>ROUND(U6*AE$5/1200,2)</f>
        <v>0.0</v>
      </c>
      <c r="AF7" s="31">
        <f>ROUND(V6*AF$5/1200,2)</f>
        <v>0.0</v>
      </c>
      <c r="AG7" s="31">
        <f>ROUND(W6*AG$5/1200,2)</f>
        <v>0.0</v>
      </c>
      <c r="AH7" s="31">
        <f>ROUND(X6*AH$5/1200,2)</f>
        <v>0.0</v>
      </c>
      <c r="AI7" s="31">
        <f>ROUND(Y6*AI$5/1200,2)</f>
        <v>0.0</v>
      </c>
      <c r="AJ7" s="31">
        <f>ROUND(Z6*AJ$5/1200,2)</f>
        <v>0.0</v>
      </c>
      <c r="AK7" s="31">
        <f>ROUND(AA6*AK$5/1200,2)</f>
        <v>0.0</v>
      </c>
      <c r="AL7" s="31">
        <f>MIN(AL$5,R6+AB7)</f>
        <v>12500.0</v>
      </c>
      <c r="AM7" s="31">
        <f>MIN(AM$5,S6+AC7)</f>
        <v>6500.0</v>
      </c>
      <c r="AN7" s="31">
        <f>MIN(AN$5,T6+AD7)</f>
        <v>4000.0</v>
      </c>
      <c r="AO7" s="31">
        <f>MIN(AO$5,U6+AE7)</f>
        <v>0.0</v>
      </c>
      <c r="AP7" s="31">
        <f>MIN(AP$5,V6+AF7)</f>
        <v>0.0</v>
      </c>
      <c r="AQ7" s="31">
        <f>MIN(AQ$5,W6+AG7)</f>
        <v>0.0</v>
      </c>
      <c r="AR7" s="31">
        <f>MIN(AR$5,X6+AH7)</f>
        <v>0.0</v>
      </c>
      <c r="AS7" s="31">
        <f>MIN(AS$5,Y6+AI7)</f>
        <v>0.0</v>
      </c>
      <c r="AT7" s="31">
        <f>MIN(AT$5,Z6+AJ7)</f>
        <v>0.0</v>
      </c>
      <c r="AU7" s="31">
        <f>MIN(AU$5,AA6+AK7)</f>
        <v>0.0</v>
      </c>
    </row>
    <row r="8">
      <c r="A8" s="25">
        <f>IF(F7&gt;0.005,3,"")</f>
        <v>3</v>
      </c>
      <c r="B8" s="33">
        <f>IF(A8="","",EDATE(Долги!$D$5,2))</f>
        <v>46357</v>
      </c>
      <c r="C8" s="31">
        <f>SUM(H8:Q8)</f>
        <v>31000.0</v>
      </c>
      <c r="D8" s="31">
        <f>SUM(AB8:AK8)</f>
        <v>10222.06</v>
      </c>
      <c r="E8" s="31">
        <f>C8-D8</f>
        <v>20777.94</v>
      </c>
      <c r="F8" s="31">
        <f>SUM(R8:AA8)</f>
        <v>409084.04</v>
      </c>
      <c r="G8" s="34" t="str">
        <f>IF(OR(A8="",$F$5&lt;=0),"",REPT("█",ROUND(20*F8/$F$5,0)))</f>
        <v>█████████████████</v>
      </c>
      <c r="H8" s="31">
        <f>AL8+MIN(R7+AB8-AL8,MAX(0,ROUND(Долги!$D$19-SUM($AL8:$AU8),2)))</f>
        <v>20500.0</v>
      </c>
      <c r="I8" s="31">
        <f>AM8+MIN(S7+AC8-AM8,MAX(0,ROUND(ROUND(Долги!$D$19-SUM($AL8:$AU8),2)-(SUM($H8:H8)-SUM($AL8:AL8)),2)))</f>
        <v>6500.0</v>
      </c>
      <c r="J8" s="31">
        <f>AN8+MIN(T7+AD8-AN8,MAX(0,ROUND(ROUND(Долги!$D$19-SUM($AL8:$AU8),2)-(SUM($H8:I8)-SUM($AL8:AM8)),2)))</f>
        <v>4000.0</v>
      </c>
      <c r="K8" s="31">
        <f>AO8+MIN(U7+AE8-AO8,MAX(0,ROUND(ROUND(Долги!$D$19-SUM($AL8:$AU8),2)-(SUM($H8:J8)-SUM($AL8:AN8)),2)))</f>
        <v>0.0</v>
      </c>
      <c r="L8" s="31">
        <f>AP8+MIN(V7+AF8-AP8,MAX(0,ROUND(ROUND(Долги!$D$19-SUM($AL8:$AU8),2)-(SUM($H8:K8)-SUM($AL8:AO8)),2)))</f>
        <v>0.0</v>
      </c>
      <c r="M8" s="31">
        <f>AQ8+MIN(W7+AG8-AQ8,MAX(0,ROUND(ROUND(Долги!$D$19-SUM($AL8:$AU8),2)-(SUM($H8:L8)-SUM($AL8:AP8)),2)))</f>
        <v>0.0</v>
      </c>
      <c r="N8" s="31">
        <f>AR8+MIN(X7+AH8-AR8,MAX(0,ROUND(ROUND(Долги!$D$19-SUM($AL8:$AU8),2)-(SUM($H8:M8)-SUM($AL8:AQ8)),2)))</f>
        <v>0.0</v>
      </c>
      <c r="O8" s="31">
        <f>AS8+MIN(Y7+AI8-AS8,MAX(0,ROUND(ROUND(Долги!$D$19-SUM($AL8:$AU8),2)-(SUM($H8:N8)-SUM($AL8:AR8)),2)))</f>
        <v>0.0</v>
      </c>
      <c r="P8" s="31">
        <f>AT8+MIN(Z7+AJ8-AT8,MAX(0,ROUND(ROUND(Долги!$D$19-SUM($AL8:$AU8),2)-(SUM($H8:O8)-SUM($AL8:AS8)),2)))</f>
        <v>0.0</v>
      </c>
      <c r="Q8" s="31">
        <f>AU8+MIN(AA7+AK8-AU8,MAX(0,ROUND(ROUND(Долги!$D$19-SUM($AL8:$AU8),2)-(SUM($H8:P8)-SUM($AL8:AT8)),2)))</f>
        <v>0.0</v>
      </c>
      <c r="R8" s="31">
        <f>IF(R7+AB8-H8&lt;=0.01,0,ROUND(R7+AB8-H8,2))</f>
        <v>212208.33</v>
      </c>
      <c r="S8" s="31">
        <f>IF(S7+AC8-I8&lt;=0.01,0,ROUND(S7+AC8-I8,2))</f>
        <v>168875.71</v>
      </c>
      <c r="T8" s="31">
        <f>IF(T7+AD8-J8&lt;=0.01,0,ROUND(T7+AD8-J8,2))</f>
        <v>28000.0</v>
      </c>
      <c r="U8" s="31">
        <f>IF(U7+AE8-K8&lt;=0.01,0,ROUND(U7+AE8-K8,2))</f>
        <v>0.0</v>
      </c>
      <c r="V8" s="31">
        <f>IF(V7+AF8-L8&lt;=0.01,0,ROUND(V7+AF8-L8,2))</f>
        <v>0.0</v>
      </c>
      <c r="W8" s="31">
        <f>IF(W7+AG8-M8&lt;=0.01,0,ROUND(W7+AG8-M8,2))</f>
        <v>0.0</v>
      </c>
      <c r="X8" s="31">
        <f>IF(X7+AH8-N8&lt;=0.01,0,ROUND(X7+AH8-N8,2))</f>
        <v>0.0</v>
      </c>
      <c r="Y8" s="31">
        <f>IF(Y7+AI8-O8&lt;=0.01,0,ROUND(Y7+AI8-O8,2))</f>
        <v>0.0</v>
      </c>
      <c r="Z8" s="31">
        <f>IF(Z7+AJ8-P8&lt;=0.01,0,ROUND(Z7+AJ8-P8,2))</f>
        <v>0.0</v>
      </c>
      <c r="AA8" s="31">
        <f>IF(AA7+AK8-Q8&lt;=0.01,0,ROUND(AA7+AK8-Q8,2))</f>
        <v>0.0</v>
      </c>
      <c r="AB8" s="31">
        <f>ROUND(R7*AB$5/1200,2)</f>
        <v>7488.56</v>
      </c>
      <c r="AC8" s="31">
        <f>ROUND(S7*AC$5/1200,2)</f>
        <v>2733.5</v>
      </c>
      <c r="AD8" s="31">
        <f>ROUND(T7*AD$5/1200,2)</f>
        <v>0.0</v>
      </c>
      <c r="AE8" s="31">
        <f>ROUND(U7*AE$5/1200,2)</f>
        <v>0.0</v>
      </c>
      <c r="AF8" s="31">
        <f>ROUND(V7*AF$5/1200,2)</f>
        <v>0.0</v>
      </c>
      <c r="AG8" s="31">
        <f>ROUND(W7*AG$5/1200,2)</f>
        <v>0.0</v>
      </c>
      <c r="AH8" s="31">
        <f>ROUND(X7*AH$5/1200,2)</f>
        <v>0.0</v>
      </c>
      <c r="AI8" s="31">
        <f>ROUND(Y7*AI$5/1200,2)</f>
        <v>0.0</v>
      </c>
      <c r="AJ8" s="31">
        <f>ROUND(Z7*AJ$5/1200,2)</f>
        <v>0.0</v>
      </c>
      <c r="AK8" s="31">
        <f>ROUND(AA7*AK$5/1200,2)</f>
        <v>0.0</v>
      </c>
      <c r="AL8" s="31">
        <f>MIN(AL$5,R7+AB8)</f>
        <v>12500.0</v>
      </c>
      <c r="AM8" s="31">
        <f>MIN(AM$5,S7+AC8)</f>
        <v>6500.0</v>
      </c>
      <c r="AN8" s="31">
        <f>MIN(AN$5,T7+AD8)</f>
        <v>4000.0</v>
      </c>
      <c r="AO8" s="31">
        <f>MIN(AO$5,U7+AE8)</f>
        <v>0.0</v>
      </c>
      <c r="AP8" s="31">
        <f>MIN(AP$5,V7+AF8)</f>
        <v>0.0</v>
      </c>
      <c r="AQ8" s="31">
        <f>MIN(AQ$5,W7+AG8)</f>
        <v>0.0</v>
      </c>
      <c r="AR8" s="31">
        <f>MIN(AR$5,X7+AH8)</f>
        <v>0.0</v>
      </c>
      <c r="AS8" s="31">
        <f>MIN(AS$5,Y7+AI8)</f>
        <v>0.0</v>
      </c>
      <c r="AT8" s="31">
        <f>MIN(AT$5,Z7+AJ8)</f>
        <v>0.0</v>
      </c>
      <c r="AU8" s="31">
        <f>MIN(AU$5,AA7+AK8)</f>
        <v>0.0</v>
      </c>
    </row>
    <row r="9">
      <c r="A9" s="25">
        <f>IF(F8&gt;0.005,4,"")</f>
        <v>4</v>
      </c>
      <c r="B9" s="33">
        <f>IF(A9="","",EDATE(Долги!$D$5,3))</f>
        <v>46388</v>
      </c>
      <c r="C9" s="31">
        <f>SUM(H9:Q9)</f>
        <v>31000.0</v>
      </c>
      <c r="D9" s="31">
        <f>SUM(AB9:AK9)</f>
        <v>9729.8</v>
      </c>
      <c r="E9" s="31">
        <f>C9-D9</f>
        <v>21270.2</v>
      </c>
      <c r="F9" s="31">
        <f>SUM(R9:AA9)</f>
        <v>387813.84</v>
      </c>
      <c r="G9" s="34" t="str">
        <f>IF(OR(A9="",$F$5&lt;=0),"",REPT("█",ROUND(20*F9/$F$5,0)))</f>
        <v>█████████████████</v>
      </c>
      <c r="H9" s="31">
        <f>AL9+MIN(R8+AB9-AL9,MAX(0,ROUND(Долги!$D$19-SUM($AL9:$AU9),2)))</f>
        <v>20500.0</v>
      </c>
      <c r="I9" s="31">
        <f>AM9+MIN(S8+AC9-AM9,MAX(0,ROUND(ROUND(Долги!$D$19-SUM($AL9:$AU9),2)-(SUM($H9:H9)-SUM($AL9:AL9)),2)))</f>
        <v>6500.0</v>
      </c>
      <c r="J9" s="31">
        <f>AN9+MIN(T8+AD9-AN9,MAX(0,ROUND(ROUND(Долги!$D$19-SUM($AL9:$AU9),2)-(SUM($H9:I9)-SUM($AL9:AM9)),2)))</f>
        <v>4000.0</v>
      </c>
      <c r="K9" s="31">
        <f>AO9+MIN(U8+AE9-AO9,MAX(0,ROUND(ROUND(Долги!$D$19-SUM($AL9:$AU9),2)-(SUM($H9:J9)-SUM($AL9:AN9)),2)))</f>
        <v>0.0</v>
      </c>
      <c r="L9" s="31">
        <f>AP9+MIN(V8+AF9-AP9,MAX(0,ROUND(ROUND(Долги!$D$19-SUM($AL9:$AU9),2)-(SUM($H9:K9)-SUM($AL9:AO9)),2)))</f>
        <v>0.0</v>
      </c>
      <c r="M9" s="31">
        <f>AQ9+MIN(W8+AG9-AQ9,MAX(0,ROUND(ROUND(Долги!$D$19-SUM($AL9:$AU9),2)-(SUM($H9:L9)-SUM($AL9:AP9)),2)))</f>
        <v>0.0</v>
      </c>
      <c r="N9" s="31">
        <f>AR9+MIN(X8+AH9-AR9,MAX(0,ROUND(ROUND(Долги!$D$19-SUM($AL9:$AU9),2)-(SUM($H9:M9)-SUM($AL9:AQ9)),2)))</f>
        <v>0.0</v>
      </c>
      <c r="O9" s="31">
        <f>AS9+MIN(Y8+AI9-AS9,MAX(0,ROUND(ROUND(Долги!$D$19-SUM($AL9:$AU9),2)-(SUM($H9:N9)-SUM($AL9:AR9)),2)))</f>
        <v>0.0</v>
      </c>
      <c r="P9" s="31">
        <f>AT9+MIN(Z8+AJ9-AT9,MAX(0,ROUND(ROUND(Долги!$D$19-SUM($AL9:$AU9),2)-(SUM($H9:O9)-SUM($AL9:AS9)),2)))</f>
        <v>0.0</v>
      </c>
      <c r="Q9" s="31">
        <f>AU9+MIN(AA8+AK9-AU9,MAX(0,ROUND(ROUND(Долги!$D$19-SUM($AL9:$AU9),2)-(SUM($H9:P9)-SUM($AL9:AT9)),2)))</f>
        <v>0.0</v>
      </c>
      <c r="R9" s="31">
        <f>IF(R8+AB9-H9&lt;=0.01,0,ROUND(R8+AB9-H9,2))</f>
        <v>198764.26</v>
      </c>
      <c r="S9" s="31">
        <f>IF(S8+AC9-I9&lt;=0.01,0,ROUND(S8+AC9-I9,2))</f>
        <v>165049.58</v>
      </c>
      <c r="T9" s="31">
        <f>IF(T8+AD9-J9&lt;=0.01,0,ROUND(T8+AD9-J9,2))</f>
        <v>24000.0</v>
      </c>
      <c r="U9" s="31">
        <f>IF(U8+AE9-K9&lt;=0.01,0,ROUND(U8+AE9-K9,2))</f>
        <v>0.0</v>
      </c>
      <c r="V9" s="31">
        <f>IF(V8+AF9-L9&lt;=0.01,0,ROUND(V8+AF9-L9,2))</f>
        <v>0.0</v>
      </c>
      <c r="W9" s="31">
        <f>IF(W8+AG9-M9&lt;=0.01,0,ROUND(W8+AG9-M9,2))</f>
        <v>0.0</v>
      </c>
      <c r="X9" s="31">
        <f>IF(X8+AH9-N9&lt;=0.01,0,ROUND(X8+AH9-N9,2))</f>
        <v>0.0</v>
      </c>
      <c r="Y9" s="31">
        <f>IF(Y8+AI9-O9&lt;=0.01,0,ROUND(Y8+AI9-O9,2))</f>
        <v>0.0</v>
      </c>
      <c r="Z9" s="31">
        <f>IF(Z8+AJ9-P9&lt;=0.01,0,ROUND(Z8+AJ9-P9,2))</f>
        <v>0.0</v>
      </c>
      <c r="AA9" s="31">
        <f>IF(AA8+AK9-Q9&lt;=0.01,0,ROUND(AA8+AK9-Q9,2))</f>
        <v>0.0</v>
      </c>
      <c r="AB9" s="31">
        <f>ROUND(R8*AB$5/1200,2)</f>
        <v>7055.93</v>
      </c>
      <c r="AC9" s="31">
        <f>ROUND(S8*AC$5/1200,2)</f>
        <v>2673.87</v>
      </c>
      <c r="AD9" s="31">
        <f>ROUND(T8*AD$5/1200,2)</f>
        <v>0.0</v>
      </c>
      <c r="AE9" s="31">
        <f>ROUND(U8*AE$5/1200,2)</f>
        <v>0.0</v>
      </c>
      <c r="AF9" s="31">
        <f>ROUND(V8*AF$5/1200,2)</f>
        <v>0.0</v>
      </c>
      <c r="AG9" s="31">
        <f>ROUND(W8*AG$5/1200,2)</f>
        <v>0.0</v>
      </c>
      <c r="AH9" s="31">
        <f>ROUND(X8*AH$5/1200,2)</f>
        <v>0.0</v>
      </c>
      <c r="AI9" s="31">
        <f>ROUND(Y8*AI$5/1200,2)</f>
        <v>0.0</v>
      </c>
      <c r="AJ9" s="31">
        <f>ROUND(Z8*AJ$5/1200,2)</f>
        <v>0.0</v>
      </c>
      <c r="AK9" s="31">
        <f>ROUND(AA8*AK$5/1200,2)</f>
        <v>0.0</v>
      </c>
      <c r="AL9" s="31">
        <f>MIN(AL$5,R8+AB9)</f>
        <v>12500.0</v>
      </c>
      <c r="AM9" s="31">
        <f>MIN(AM$5,S8+AC9)</f>
        <v>6500.0</v>
      </c>
      <c r="AN9" s="31">
        <f>MIN(AN$5,T8+AD9)</f>
        <v>4000.0</v>
      </c>
      <c r="AO9" s="31">
        <f>MIN(AO$5,U8+AE9)</f>
        <v>0.0</v>
      </c>
      <c r="AP9" s="31">
        <f>MIN(AP$5,V8+AF9)</f>
        <v>0.0</v>
      </c>
      <c r="AQ9" s="31">
        <f>MIN(AQ$5,W8+AG9)</f>
        <v>0.0</v>
      </c>
      <c r="AR9" s="31">
        <f>MIN(AR$5,X8+AH9)</f>
        <v>0.0</v>
      </c>
      <c r="AS9" s="31">
        <f>MIN(AS$5,Y8+AI9)</f>
        <v>0.0</v>
      </c>
      <c r="AT9" s="31">
        <f>MIN(AT$5,Z8+AJ9)</f>
        <v>0.0</v>
      </c>
      <c r="AU9" s="31">
        <f>MIN(AU$5,AA8+AK9)</f>
        <v>0.0</v>
      </c>
    </row>
    <row r="10">
      <c r="A10" s="25">
        <f>IF(F9&gt;0.005,5,"")</f>
        <v>5</v>
      </c>
      <c r="B10" s="33">
        <f>IF(A10="","",EDATE(Долги!$D$5,4))</f>
        <v>46419</v>
      </c>
      <c r="C10" s="31">
        <f>SUM(H10:Q10)</f>
        <v>31000.0</v>
      </c>
      <c r="D10" s="31">
        <f>SUM(AB10:AK10)</f>
        <v>9222.2</v>
      </c>
      <c r="E10" s="31">
        <f>C10-D10</f>
        <v>21777.8</v>
      </c>
      <c r="F10" s="31">
        <f>SUM(R10:AA10)</f>
        <v>366036.04</v>
      </c>
      <c r="G10" s="34" t="str">
        <f>IF(OR(A10="",$F$5&lt;=0),"",REPT("█",ROUND(20*F10/$F$5,0)))</f>
        <v>████████████████</v>
      </c>
      <c r="H10" s="31">
        <f>AL10+MIN(R9+AB10-AL10,MAX(0,ROUND(Долги!$D$19-SUM($AL10:$AU10),2)))</f>
        <v>20500.0</v>
      </c>
      <c r="I10" s="31">
        <f>AM10+MIN(S9+AC10-AM10,MAX(0,ROUND(ROUND(Долги!$D$19-SUM($AL10:$AU10),2)-(SUM($H10:H10)-SUM($AL10:AL10)),2)))</f>
        <v>6500.0</v>
      </c>
      <c r="J10" s="31">
        <f>AN10+MIN(T9+AD10-AN10,MAX(0,ROUND(ROUND(Долги!$D$19-SUM($AL10:$AU10),2)-(SUM($H10:I10)-SUM($AL10:AM10)),2)))</f>
        <v>4000.0</v>
      </c>
      <c r="K10" s="31">
        <f>AO10+MIN(U9+AE10-AO10,MAX(0,ROUND(ROUND(Долги!$D$19-SUM($AL10:$AU10),2)-(SUM($H10:J10)-SUM($AL10:AN10)),2)))</f>
        <v>0.0</v>
      </c>
      <c r="L10" s="31">
        <f>AP10+MIN(V9+AF10-AP10,MAX(0,ROUND(ROUND(Долги!$D$19-SUM($AL10:$AU10),2)-(SUM($H10:K10)-SUM($AL10:AO10)),2)))</f>
        <v>0.0</v>
      </c>
      <c r="M10" s="31">
        <f>AQ10+MIN(W9+AG10-AQ10,MAX(0,ROUND(ROUND(Долги!$D$19-SUM($AL10:$AU10),2)-(SUM($H10:L10)-SUM($AL10:AP10)),2)))</f>
        <v>0.0</v>
      </c>
      <c r="N10" s="31">
        <f>AR10+MIN(X9+AH10-AR10,MAX(0,ROUND(ROUND(Долги!$D$19-SUM($AL10:$AU10),2)-(SUM($H10:M10)-SUM($AL10:AQ10)),2)))</f>
        <v>0.0</v>
      </c>
      <c r="O10" s="31">
        <f>AS10+MIN(Y9+AI10-AS10,MAX(0,ROUND(ROUND(Долги!$D$19-SUM($AL10:$AU10),2)-(SUM($H10:N10)-SUM($AL10:AR10)),2)))</f>
        <v>0.0</v>
      </c>
      <c r="P10" s="31">
        <f>AT10+MIN(Z9+AJ10-AT10,MAX(0,ROUND(ROUND(Долги!$D$19-SUM($AL10:$AU10),2)-(SUM($H10:O10)-SUM($AL10:AS10)),2)))</f>
        <v>0.0</v>
      </c>
      <c r="Q10" s="31">
        <f>AU10+MIN(AA9+AK10-AU10,MAX(0,ROUND(ROUND(Долги!$D$19-SUM($AL10:$AU10),2)-(SUM($H10:P10)-SUM($AL10:AT10)),2)))</f>
        <v>0.0</v>
      </c>
      <c r="R10" s="31">
        <f>IF(R9+AB10-H10&lt;=0.01,0,ROUND(R9+AB10-H10,2))</f>
        <v>184873.17</v>
      </c>
      <c r="S10" s="31">
        <f>IF(S9+AC10-I10&lt;=0.01,0,ROUND(S9+AC10-I10,2))</f>
        <v>161162.87</v>
      </c>
      <c r="T10" s="31">
        <f>IF(T9+AD10-J10&lt;=0.01,0,ROUND(T9+AD10-J10,2))</f>
        <v>20000.0</v>
      </c>
      <c r="U10" s="31">
        <f>IF(U9+AE10-K10&lt;=0.01,0,ROUND(U9+AE10-K10,2))</f>
        <v>0.0</v>
      </c>
      <c r="V10" s="31">
        <f>IF(V9+AF10-L10&lt;=0.01,0,ROUND(V9+AF10-L10,2))</f>
        <v>0.0</v>
      </c>
      <c r="W10" s="31">
        <f>IF(W9+AG10-M10&lt;=0.01,0,ROUND(W9+AG10-M10,2))</f>
        <v>0.0</v>
      </c>
      <c r="X10" s="31">
        <f>IF(X9+AH10-N10&lt;=0.01,0,ROUND(X9+AH10-N10,2))</f>
        <v>0.0</v>
      </c>
      <c r="Y10" s="31">
        <f>IF(Y9+AI10-O10&lt;=0.01,0,ROUND(Y9+AI10-O10,2))</f>
        <v>0.0</v>
      </c>
      <c r="Z10" s="31">
        <f>IF(Z9+AJ10-P10&lt;=0.01,0,ROUND(Z9+AJ10-P10,2))</f>
        <v>0.0</v>
      </c>
      <c r="AA10" s="31">
        <f>IF(AA9+AK10-Q10&lt;=0.01,0,ROUND(AA9+AK10-Q10,2))</f>
        <v>0.0</v>
      </c>
      <c r="AB10" s="31">
        <f>ROUND(R9*AB$5/1200,2)</f>
        <v>6608.91</v>
      </c>
      <c r="AC10" s="31">
        <f>ROUND(S9*AC$5/1200,2)</f>
        <v>2613.29</v>
      </c>
      <c r="AD10" s="31">
        <f>ROUND(T9*AD$5/1200,2)</f>
        <v>0.0</v>
      </c>
      <c r="AE10" s="31">
        <f>ROUND(U9*AE$5/1200,2)</f>
        <v>0.0</v>
      </c>
      <c r="AF10" s="31">
        <f>ROUND(V9*AF$5/1200,2)</f>
        <v>0.0</v>
      </c>
      <c r="AG10" s="31">
        <f>ROUND(W9*AG$5/1200,2)</f>
        <v>0.0</v>
      </c>
      <c r="AH10" s="31">
        <f>ROUND(X9*AH$5/1200,2)</f>
        <v>0.0</v>
      </c>
      <c r="AI10" s="31">
        <f>ROUND(Y9*AI$5/1200,2)</f>
        <v>0.0</v>
      </c>
      <c r="AJ10" s="31">
        <f>ROUND(Z9*AJ$5/1200,2)</f>
        <v>0.0</v>
      </c>
      <c r="AK10" s="31">
        <f>ROUND(AA9*AK$5/1200,2)</f>
        <v>0.0</v>
      </c>
      <c r="AL10" s="31">
        <f>MIN(AL$5,R9+AB10)</f>
        <v>12500.0</v>
      </c>
      <c r="AM10" s="31">
        <f>MIN(AM$5,S9+AC10)</f>
        <v>6500.0</v>
      </c>
      <c r="AN10" s="31">
        <f>MIN(AN$5,T9+AD10)</f>
        <v>4000.0</v>
      </c>
      <c r="AO10" s="31">
        <f>MIN(AO$5,U9+AE10)</f>
        <v>0.0</v>
      </c>
      <c r="AP10" s="31">
        <f>MIN(AP$5,V9+AF10)</f>
        <v>0.0</v>
      </c>
      <c r="AQ10" s="31">
        <f>MIN(AQ$5,W9+AG10)</f>
        <v>0.0</v>
      </c>
      <c r="AR10" s="31">
        <f>MIN(AR$5,X9+AH10)</f>
        <v>0.0</v>
      </c>
      <c r="AS10" s="31">
        <f>MIN(AS$5,Y9+AI10)</f>
        <v>0.0</v>
      </c>
      <c r="AT10" s="31">
        <f>MIN(AT$5,Z9+AJ10)</f>
        <v>0.0</v>
      </c>
      <c r="AU10" s="31">
        <f>MIN(AU$5,AA9+AK10)</f>
        <v>0.0</v>
      </c>
    </row>
    <row r="11">
      <c r="A11" s="25">
        <f>IF(F10&gt;0.005,6,"")</f>
        <v>6</v>
      </c>
      <c r="B11" s="33">
        <f>IF(A11="","",EDATE(Долги!$D$5,5))</f>
        <v>46447</v>
      </c>
      <c r="C11" s="31">
        <f>SUM(H11:Q11)</f>
        <v>31000.0</v>
      </c>
      <c r="D11" s="31">
        <f>SUM(AB11:AK11)</f>
        <v>8698.78</v>
      </c>
      <c r="E11" s="31">
        <f>C11-D11</f>
        <v>22301.22</v>
      </c>
      <c r="F11" s="31">
        <f>SUM(R11:AA11)</f>
        <v>343734.82</v>
      </c>
      <c r="G11" s="34" t="str">
        <f>IF(OR(A11="",$F$5&lt;=0),"",REPT("█",ROUND(20*F11/$F$5,0)))</f>
        <v>███████████████</v>
      </c>
      <c r="H11" s="31">
        <f>AL11+MIN(R10+AB11-AL11,MAX(0,ROUND(Долги!$D$19-SUM($AL11:$AU11),2)))</f>
        <v>20500.0</v>
      </c>
      <c r="I11" s="31">
        <f>AM11+MIN(S10+AC11-AM11,MAX(0,ROUND(ROUND(Долги!$D$19-SUM($AL11:$AU11),2)-(SUM($H11:H11)-SUM($AL11:AL11)),2)))</f>
        <v>6500.0</v>
      </c>
      <c r="J11" s="31">
        <f>AN11+MIN(T10+AD11-AN11,MAX(0,ROUND(ROUND(Долги!$D$19-SUM($AL11:$AU11),2)-(SUM($H11:I11)-SUM($AL11:AM11)),2)))</f>
        <v>4000.0</v>
      </c>
      <c r="K11" s="31">
        <f>AO11+MIN(U10+AE11-AO11,MAX(0,ROUND(ROUND(Долги!$D$19-SUM($AL11:$AU11),2)-(SUM($H11:J11)-SUM($AL11:AN11)),2)))</f>
        <v>0.0</v>
      </c>
      <c r="L11" s="31">
        <f>AP11+MIN(V10+AF11-AP11,MAX(0,ROUND(ROUND(Долги!$D$19-SUM($AL11:$AU11),2)-(SUM($H11:K11)-SUM($AL11:AO11)),2)))</f>
        <v>0.0</v>
      </c>
      <c r="M11" s="31">
        <f>AQ11+MIN(W10+AG11-AQ11,MAX(0,ROUND(ROUND(Долги!$D$19-SUM($AL11:$AU11),2)-(SUM($H11:L11)-SUM($AL11:AP11)),2)))</f>
        <v>0.0</v>
      </c>
      <c r="N11" s="31">
        <f>AR11+MIN(X10+AH11-AR11,MAX(0,ROUND(ROUND(Долги!$D$19-SUM($AL11:$AU11),2)-(SUM($H11:M11)-SUM($AL11:AQ11)),2)))</f>
        <v>0.0</v>
      </c>
      <c r="O11" s="31">
        <f>AS11+MIN(Y10+AI11-AS11,MAX(0,ROUND(ROUND(Долги!$D$19-SUM($AL11:$AU11),2)-(SUM($H11:N11)-SUM($AL11:AR11)),2)))</f>
        <v>0.0</v>
      </c>
      <c r="P11" s="31">
        <f>AT11+MIN(Z10+AJ11-AT11,MAX(0,ROUND(ROUND(Долги!$D$19-SUM($AL11:$AU11),2)-(SUM($H11:O11)-SUM($AL11:AS11)),2)))</f>
        <v>0.0</v>
      </c>
      <c r="Q11" s="31">
        <f>AU11+MIN(AA10+AK11-AU11,MAX(0,ROUND(ROUND(Долги!$D$19-SUM($AL11:$AU11),2)-(SUM($H11:P11)-SUM($AL11:AT11)),2)))</f>
        <v>0.0</v>
      </c>
      <c r="R11" s="31">
        <f>IF(R10+AB11-H11&lt;=0.01,0,ROUND(R10+AB11-H11,2))</f>
        <v>170520.2</v>
      </c>
      <c r="S11" s="31">
        <f>IF(S10+AC11-I11&lt;=0.01,0,ROUND(S10+AC11-I11,2))</f>
        <v>157214.62</v>
      </c>
      <c r="T11" s="31">
        <f>IF(T10+AD11-J11&lt;=0.01,0,ROUND(T10+AD11-J11,2))</f>
        <v>16000.0</v>
      </c>
      <c r="U11" s="31">
        <f>IF(U10+AE11-K11&lt;=0.01,0,ROUND(U10+AE11-K11,2))</f>
        <v>0.0</v>
      </c>
      <c r="V11" s="31">
        <f>IF(V10+AF11-L11&lt;=0.01,0,ROUND(V10+AF11-L11,2))</f>
        <v>0.0</v>
      </c>
      <c r="W11" s="31">
        <f>IF(W10+AG11-M11&lt;=0.01,0,ROUND(W10+AG11-M11,2))</f>
        <v>0.0</v>
      </c>
      <c r="X11" s="31">
        <f>IF(X10+AH11-N11&lt;=0.01,0,ROUND(X10+AH11-N11,2))</f>
        <v>0.0</v>
      </c>
      <c r="Y11" s="31">
        <f>IF(Y10+AI11-O11&lt;=0.01,0,ROUND(Y10+AI11-O11,2))</f>
        <v>0.0</v>
      </c>
      <c r="Z11" s="31">
        <f>IF(Z10+AJ11-P11&lt;=0.01,0,ROUND(Z10+AJ11-P11,2))</f>
        <v>0.0</v>
      </c>
      <c r="AA11" s="31">
        <f>IF(AA10+AK11-Q11&lt;=0.01,0,ROUND(AA10+AK11-Q11,2))</f>
        <v>0.0</v>
      </c>
      <c r="AB11" s="31">
        <f>ROUND(R10*AB$5/1200,2)</f>
        <v>6147.03</v>
      </c>
      <c r="AC11" s="31">
        <f>ROUND(S10*AC$5/1200,2)</f>
        <v>2551.75</v>
      </c>
      <c r="AD11" s="31">
        <f>ROUND(T10*AD$5/1200,2)</f>
        <v>0.0</v>
      </c>
      <c r="AE11" s="31">
        <f>ROUND(U10*AE$5/1200,2)</f>
        <v>0.0</v>
      </c>
      <c r="AF11" s="31">
        <f>ROUND(V10*AF$5/1200,2)</f>
        <v>0.0</v>
      </c>
      <c r="AG11" s="31">
        <f>ROUND(W10*AG$5/1200,2)</f>
        <v>0.0</v>
      </c>
      <c r="AH11" s="31">
        <f>ROUND(X10*AH$5/1200,2)</f>
        <v>0.0</v>
      </c>
      <c r="AI11" s="31">
        <f>ROUND(Y10*AI$5/1200,2)</f>
        <v>0.0</v>
      </c>
      <c r="AJ11" s="31">
        <f>ROUND(Z10*AJ$5/1200,2)</f>
        <v>0.0</v>
      </c>
      <c r="AK11" s="31">
        <f>ROUND(AA10*AK$5/1200,2)</f>
        <v>0.0</v>
      </c>
      <c r="AL11" s="31">
        <f>MIN(AL$5,R10+AB11)</f>
        <v>12500.0</v>
      </c>
      <c r="AM11" s="31">
        <f>MIN(AM$5,S10+AC11)</f>
        <v>6500.0</v>
      </c>
      <c r="AN11" s="31">
        <f>MIN(AN$5,T10+AD11)</f>
        <v>4000.0</v>
      </c>
      <c r="AO11" s="31">
        <f>MIN(AO$5,U10+AE11)</f>
        <v>0.0</v>
      </c>
      <c r="AP11" s="31">
        <f>MIN(AP$5,V10+AF11)</f>
        <v>0.0</v>
      </c>
      <c r="AQ11" s="31">
        <f>MIN(AQ$5,W10+AG11)</f>
        <v>0.0</v>
      </c>
      <c r="AR11" s="31">
        <f>MIN(AR$5,X10+AH11)</f>
        <v>0.0</v>
      </c>
      <c r="AS11" s="31">
        <f>MIN(AS$5,Y10+AI11)</f>
        <v>0.0</v>
      </c>
      <c r="AT11" s="31">
        <f>MIN(AT$5,Z10+AJ11)</f>
        <v>0.0</v>
      </c>
      <c r="AU11" s="31">
        <f>MIN(AU$5,AA10+AK11)</f>
        <v>0.0</v>
      </c>
    </row>
    <row r="12">
      <c r="A12" s="25">
        <f>IF(F11&gt;0.005,7,"")</f>
        <v>7</v>
      </c>
      <c r="B12" s="33">
        <f>IF(A12="","",EDATE(Долги!$D$5,6))</f>
        <v>46478</v>
      </c>
      <c r="C12" s="31">
        <f>SUM(H12:Q12)</f>
        <v>31000.0</v>
      </c>
      <c r="D12" s="31">
        <f>SUM(AB12:AK12)</f>
        <v>8159.03</v>
      </c>
      <c r="E12" s="31">
        <f>C12-D12</f>
        <v>22840.97</v>
      </c>
      <c r="F12" s="31">
        <f>SUM(R12:AA12)</f>
        <v>320893.85</v>
      </c>
      <c r="G12" s="34" t="str">
        <f>IF(OR(A12="",$F$5&lt;=0),"",REPT("█",ROUND(20*F12/$F$5,0)))</f>
        <v>██████████████</v>
      </c>
      <c r="H12" s="31">
        <f>AL12+MIN(R11+AB12-AL12,MAX(0,ROUND(Долги!$D$19-SUM($AL12:$AU12),2)))</f>
        <v>20500.0</v>
      </c>
      <c r="I12" s="31">
        <f>AM12+MIN(S11+AC12-AM12,MAX(0,ROUND(ROUND(Долги!$D$19-SUM($AL12:$AU12),2)-(SUM($H12:H12)-SUM($AL12:AL12)),2)))</f>
        <v>6500.0</v>
      </c>
      <c r="J12" s="31">
        <f>AN12+MIN(T11+AD12-AN12,MAX(0,ROUND(ROUND(Долги!$D$19-SUM($AL12:$AU12),2)-(SUM($H12:I12)-SUM($AL12:AM12)),2)))</f>
        <v>4000.0</v>
      </c>
      <c r="K12" s="31">
        <f>AO12+MIN(U11+AE12-AO12,MAX(0,ROUND(ROUND(Долги!$D$19-SUM($AL12:$AU12),2)-(SUM($H12:J12)-SUM($AL12:AN12)),2)))</f>
        <v>0.0</v>
      </c>
      <c r="L12" s="31">
        <f>AP12+MIN(V11+AF12-AP12,MAX(0,ROUND(ROUND(Долги!$D$19-SUM($AL12:$AU12),2)-(SUM($H12:K12)-SUM($AL12:AO12)),2)))</f>
        <v>0.0</v>
      </c>
      <c r="M12" s="31">
        <f>AQ12+MIN(W11+AG12-AQ12,MAX(0,ROUND(ROUND(Долги!$D$19-SUM($AL12:$AU12),2)-(SUM($H12:L12)-SUM($AL12:AP12)),2)))</f>
        <v>0.0</v>
      </c>
      <c r="N12" s="31">
        <f>AR12+MIN(X11+AH12-AR12,MAX(0,ROUND(ROUND(Долги!$D$19-SUM($AL12:$AU12),2)-(SUM($H12:M12)-SUM($AL12:AQ12)),2)))</f>
        <v>0.0</v>
      </c>
      <c r="O12" s="31">
        <f>AS12+MIN(Y11+AI12-AS12,MAX(0,ROUND(ROUND(Долги!$D$19-SUM($AL12:$AU12),2)-(SUM($H12:N12)-SUM($AL12:AR12)),2)))</f>
        <v>0.0</v>
      </c>
      <c r="P12" s="31">
        <f>AT12+MIN(Z11+AJ12-AT12,MAX(0,ROUND(ROUND(Долги!$D$19-SUM($AL12:$AU12),2)-(SUM($H12:O12)-SUM($AL12:AS12)),2)))</f>
        <v>0.0</v>
      </c>
      <c r="Q12" s="31">
        <f>AU12+MIN(AA11+AK12-AU12,MAX(0,ROUND(ROUND(Долги!$D$19-SUM($AL12:$AU12),2)-(SUM($H12:P12)-SUM($AL12:AT12)),2)))</f>
        <v>0.0</v>
      </c>
      <c r="R12" s="31">
        <f>IF(R11+AB12-H12&lt;=0.01,0,ROUND(R11+AB12-H12,2))</f>
        <v>155690.0</v>
      </c>
      <c r="S12" s="31">
        <f>IF(S11+AC12-I12&lt;=0.01,0,ROUND(S11+AC12-I12,2))</f>
        <v>153203.85</v>
      </c>
      <c r="T12" s="31">
        <f>IF(T11+AD12-J12&lt;=0.01,0,ROUND(T11+AD12-J12,2))</f>
        <v>12000.0</v>
      </c>
      <c r="U12" s="31">
        <f>IF(U11+AE12-K12&lt;=0.01,0,ROUND(U11+AE12-K12,2))</f>
        <v>0.0</v>
      </c>
      <c r="V12" s="31">
        <f>IF(V11+AF12-L12&lt;=0.01,0,ROUND(V11+AF12-L12,2))</f>
        <v>0.0</v>
      </c>
      <c r="W12" s="31">
        <f>IF(W11+AG12-M12&lt;=0.01,0,ROUND(W11+AG12-M12,2))</f>
        <v>0.0</v>
      </c>
      <c r="X12" s="31">
        <f>IF(X11+AH12-N12&lt;=0.01,0,ROUND(X11+AH12-N12,2))</f>
        <v>0.0</v>
      </c>
      <c r="Y12" s="31">
        <f>IF(Y11+AI12-O12&lt;=0.01,0,ROUND(Y11+AI12-O12,2))</f>
        <v>0.0</v>
      </c>
      <c r="Z12" s="31">
        <f>IF(Z11+AJ12-P12&lt;=0.01,0,ROUND(Z11+AJ12-P12,2))</f>
        <v>0.0</v>
      </c>
      <c r="AA12" s="31">
        <f>IF(AA11+AK12-Q12&lt;=0.01,0,ROUND(AA11+AK12-Q12,2))</f>
        <v>0.0</v>
      </c>
      <c r="AB12" s="31">
        <f>ROUND(R11*AB$5/1200,2)</f>
        <v>5669.8</v>
      </c>
      <c r="AC12" s="31">
        <f>ROUND(S11*AC$5/1200,2)</f>
        <v>2489.23</v>
      </c>
      <c r="AD12" s="31">
        <f>ROUND(T11*AD$5/1200,2)</f>
        <v>0.0</v>
      </c>
      <c r="AE12" s="31">
        <f>ROUND(U11*AE$5/1200,2)</f>
        <v>0.0</v>
      </c>
      <c r="AF12" s="31">
        <f>ROUND(V11*AF$5/1200,2)</f>
        <v>0.0</v>
      </c>
      <c r="AG12" s="31">
        <f>ROUND(W11*AG$5/1200,2)</f>
        <v>0.0</v>
      </c>
      <c r="AH12" s="31">
        <f>ROUND(X11*AH$5/1200,2)</f>
        <v>0.0</v>
      </c>
      <c r="AI12" s="31">
        <f>ROUND(Y11*AI$5/1200,2)</f>
        <v>0.0</v>
      </c>
      <c r="AJ12" s="31">
        <f>ROUND(Z11*AJ$5/1200,2)</f>
        <v>0.0</v>
      </c>
      <c r="AK12" s="31">
        <f>ROUND(AA11*AK$5/1200,2)</f>
        <v>0.0</v>
      </c>
      <c r="AL12" s="31">
        <f>MIN(AL$5,R11+AB12)</f>
        <v>12500.0</v>
      </c>
      <c r="AM12" s="31">
        <f>MIN(AM$5,S11+AC12)</f>
        <v>6500.0</v>
      </c>
      <c r="AN12" s="31">
        <f>MIN(AN$5,T11+AD12)</f>
        <v>4000.0</v>
      </c>
      <c r="AO12" s="31">
        <f>MIN(AO$5,U11+AE12)</f>
        <v>0.0</v>
      </c>
      <c r="AP12" s="31">
        <f>MIN(AP$5,V11+AF12)</f>
        <v>0.0</v>
      </c>
      <c r="AQ12" s="31">
        <f>MIN(AQ$5,W11+AG12)</f>
        <v>0.0</v>
      </c>
      <c r="AR12" s="31">
        <f>MIN(AR$5,X11+AH12)</f>
        <v>0.0</v>
      </c>
      <c r="AS12" s="31">
        <f>MIN(AS$5,Y11+AI12)</f>
        <v>0.0</v>
      </c>
      <c r="AT12" s="31">
        <f>MIN(AT$5,Z11+AJ12)</f>
        <v>0.0</v>
      </c>
      <c r="AU12" s="31">
        <f>MIN(AU$5,AA11+AK12)</f>
        <v>0.0</v>
      </c>
    </row>
    <row r="13">
      <c r="A13" s="25">
        <f>IF(F12&gt;0.005,8,"")</f>
        <v>8</v>
      </c>
      <c r="B13" s="33">
        <f>IF(A13="","",EDATE(Долги!$D$5,7))</f>
        <v>46508</v>
      </c>
      <c r="C13" s="31">
        <f>SUM(H13:Q13)</f>
        <v>31000.0</v>
      </c>
      <c r="D13" s="31">
        <f>SUM(AB13:AK13)</f>
        <v>7602.42</v>
      </c>
      <c r="E13" s="31">
        <f>C13-D13</f>
        <v>23397.58</v>
      </c>
      <c r="F13" s="31">
        <f>SUM(R13:AA13)</f>
        <v>297496.27</v>
      </c>
      <c r="G13" s="34" t="str">
        <f>IF(OR(A13="",$F$5&lt;=0),"",REPT("█",ROUND(20*F13/$F$5,0)))</f>
        <v>█████████████</v>
      </c>
      <c r="H13" s="31">
        <f>AL13+MIN(R12+AB13-AL13,MAX(0,ROUND(Долги!$D$19-SUM($AL13:$AU13),2)))</f>
        <v>20500.0</v>
      </c>
      <c r="I13" s="31">
        <f>AM13+MIN(S12+AC13-AM13,MAX(0,ROUND(ROUND(Долги!$D$19-SUM($AL13:$AU13),2)-(SUM($H13:H13)-SUM($AL13:AL13)),2)))</f>
        <v>6500.0</v>
      </c>
      <c r="J13" s="31">
        <f>AN13+MIN(T12+AD13-AN13,MAX(0,ROUND(ROUND(Долги!$D$19-SUM($AL13:$AU13),2)-(SUM($H13:I13)-SUM($AL13:AM13)),2)))</f>
        <v>4000.0</v>
      </c>
      <c r="K13" s="31">
        <f>AO13+MIN(U12+AE13-AO13,MAX(0,ROUND(ROUND(Долги!$D$19-SUM($AL13:$AU13),2)-(SUM($H13:J13)-SUM($AL13:AN13)),2)))</f>
        <v>0.0</v>
      </c>
      <c r="L13" s="31">
        <f>AP13+MIN(V12+AF13-AP13,MAX(0,ROUND(ROUND(Долги!$D$19-SUM($AL13:$AU13),2)-(SUM($H13:K13)-SUM($AL13:AO13)),2)))</f>
        <v>0.0</v>
      </c>
      <c r="M13" s="31">
        <f>AQ13+MIN(W12+AG13-AQ13,MAX(0,ROUND(ROUND(Долги!$D$19-SUM($AL13:$AU13),2)-(SUM($H13:L13)-SUM($AL13:AP13)),2)))</f>
        <v>0.0</v>
      </c>
      <c r="N13" s="31">
        <f>AR13+MIN(X12+AH13-AR13,MAX(0,ROUND(ROUND(Долги!$D$19-SUM($AL13:$AU13),2)-(SUM($H13:M13)-SUM($AL13:AQ13)),2)))</f>
        <v>0.0</v>
      </c>
      <c r="O13" s="31">
        <f>AS13+MIN(Y12+AI13-AS13,MAX(0,ROUND(ROUND(Долги!$D$19-SUM($AL13:$AU13),2)-(SUM($H13:N13)-SUM($AL13:AR13)),2)))</f>
        <v>0.0</v>
      </c>
      <c r="P13" s="31">
        <f>AT13+MIN(Z12+AJ13-AT13,MAX(0,ROUND(ROUND(Долги!$D$19-SUM($AL13:$AU13),2)-(SUM($H13:O13)-SUM($AL13:AS13)),2)))</f>
        <v>0.0</v>
      </c>
      <c r="Q13" s="31">
        <f>AU13+MIN(AA12+AK13-AU13,MAX(0,ROUND(ROUND(Долги!$D$19-SUM($AL13:$AU13),2)-(SUM($H13:P13)-SUM($AL13:AT13)),2)))</f>
        <v>0.0</v>
      </c>
      <c r="R13" s="31">
        <f>IF(R12+AB13-H13&lt;=0.01,0,ROUND(R12+AB13-H13,2))</f>
        <v>140366.69</v>
      </c>
      <c r="S13" s="31">
        <f>IF(S12+AC13-I13&lt;=0.01,0,ROUND(S12+AC13-I13,2))</f>
        <v>149129.58</v>
      </c>
      <c r="T13" s="31">
        <f>IF(T12+AD13-J13&lt;=0.01,0,ROUND(T12+AD13-J13,2))</f>
        <v>8000.0</v>
      </c>
      <c r="U13" s="31">
        <f>IF(U12+AE13-K13&lt;=0.01,0,ROUND(U12+AE13-K13,2))</f>
        <v>0.0</v>
      </c>
      <c r="V13" s="31">
        <f>IF(V12+AF13-L13&lt;=0.01,0,ROUND(V12+AF13-L13,2))</f>
        <v>0.0</v>
      </c>
      <c r="W13" s="31">
        <f>IF(W12+AG13-M13&lt;=0.01,0,ROUND(W12+AG13-M13,2))</f>
        <v>0.0</v>
      </c>
      <c r="X13" s="31">
        <f>IF(X12+AH13-N13&lt;=0.01,0,ROUND(X12+AH13-N13,2))</f>
        <v>0.0</v>
      </c>
      <c r="Y13" s="31">
        <f>IF(Y12+AI13-O13&lt;=0.01,0,ROUND(Y12+AI13-O13,2))</f>
        <v>0.0</v>
      </c>
      <c r="Z13" s="31">
        <f>IF(Z12+AJ13-P13&lt;=0.01,0,ROUND(Z12+AJ13-P13,2))</f>
        <v>0.0</v>
      </c>
      <c r="AA13" s="31">
        <f>IF(AA12+AK13-Q13&lt;=0.01,0,ROUND(AA12+AK13-Q13,2))</f>
        <v>0.0</v>
      </c>
      <c r="AB13" s="31">
        <f>ROUND(R12*AB$5/1200,2)</f>
        <v>5176.69</v>
      </c>
      <c r="AC13" s="31">
        <f>ROUND(S12*AC$5/1200,2)</f>
        <v>2425.73</v>
      </c>
      <c r="AD13" s="31">
        <f>ROUND(T12*AD$5/1200,2)</f>
        <v>0.0</v>
      </c>
      <c r="AE13" s="31">
        <f>ROUND(U12*AE$5/1200,2)</f>
        <v>0.0</v>
      </c>
      <c r="AF13" s="31">
        <f>ROUND(V12*AF$5/1200,2)</f>
        <v>0.0</v>
      </c>
      <c r="AG13" s="31">
        <f>ROUND(W12*AG$5/1200,2)</f>
        <v>0.0</v>
      </c>
      <c r="AH13" s="31">
        <f>ROUND(X12*AH$5/1200,2)</f>
        <v>0.0</v>
      </c>
      <c r="AI13" s="31">
        <f>ROUND(Y12*AI$5/1200,2)</f>
        <v>0.0</v>
      </c>
      <c r="AJ13" s="31">
        <f>ROUND(Z12*AJ$5/1200,2)</f>
        <v>0.0</v>
      </c>
      <c r="AK13" s="31">
        <f>ROUND(AA12*AK$5/1200,2)</f>
        <v>0.0</v>
      </c>
      <c r="AL13" s="31">
        <f>MIN(AL$5,R12+AB13)</f>
        <v>12500.0</v>
      </c>
      <c r="AM13" s="31">
        <f>MIN(AM$5,S12+AC13)</f>
        <v>6500.0</v>
      </c>
      <c r="AN13" s="31">
        <f>MIN(AN$5,T12+AD13)</f>
        <v>4000.0</v>
      </c>
      <c r="AO13" s="31">
        <f>MIN(AO$5,U12+AE13)</f>
        <v>0.0</v>
      </c>
      <c r="AP13" s="31">
        <f>MIN(AP$5,V12+AF13)</f>
        <v>0.0</v>
      </c>
      <c r="AQ13" s="31">
        <f>MIN(AQ$5,W12+AG13)</f>
        <v>0.0</v>
      </c>
      <c r="AR13" s="31">
        <f>MIN(AR$5,X12+AH13)</f>
        <v>0.0</v>
      </c>
      <c r="AS13" s="31">
        <f>MIN(AS$5,Y12+AI13)</f>
        <v>0.0</v>
      </c>
      <c r="AT13" s="31">
        <f>MIN(AT$5,Z12+AJ13)</f>
        <v>0.0</v>
      </c>
      <c r="AU13" s="31">
        <f>MIN(AU$5,AA12+AK13)</f>
        <v>0.0</v>
      </c>
    </row>
    <row r="14">
      <c r="A14" s="25">
        <f>IF(F13&gt;0.005,9,"")</f>
        <v>9</v>
      </c>
      <c r="B14" s="33">
        <f>IF(A14="","",EDATE(Долги!$D$5,8))</f>
        <v>46539</v>
      </c>
      <c r="C14" s="31">
        <f>SUM(H14:Q14)</f>
        <v>31000.0</v>
      </c>
      <c r="D14" s="31">
        <f>SUM(AB14:AK14)</f>
        <v>7028.41</v>
      </c>
      <c r="E14" s="31">
        <f>C14-D14</f>
        <v>23971.59</v>
      </c>
      <c r="F14" s="31">
        <f>SUM(R14:AA14)</f>
        <v>273524.68</v>
      </c>
      <c r="G14" s="34" t="str">
        <f>IF(OR(A14="",$F$5&lt;=0),"",REPT("█",ROUND(20*F14/$F$5,0)))</f>
        <v>████████████</v>
      </c>
      <c r="H14" s="31">
        <f>AL14+MIN(R13+AB14-AL14,MAX(0,ROUND(Долги!$D$19-SUM($AL14:$AU14),2)))</f>
        <v>20500.0</v>
      </c>
      <c r="I14" s="31">
        <f>AM14+MIN(S13+AC14-AM14,MAX(0,ROUND(ROUND(Долги!$D$19-SUM($AL14:$AU14),2)-(SUM($H14:H14)-SUM($AL14:AL14)),2)))</f>
        <v>6500.0</v>
      </c>
      <c r="J14" s="31">
        <f>AN14+MIN(T13+AD14-AN14,MAX(0,ROUND(ROUND(Долги!$D$19-SUM($AL14:$AU14),2)-(SUM($H14:I14)-SUM($AL14:AM14)),2)))</f>
        <v>4000.0</v>
      </c>
      <c r="K14" s="31">
        <f>AO14+MIN(U13+AE14-AO14,MAX(0,ROUND(ROUND(Долги!$D$19-SUM($AL14:$AU14),2)-(SUM($H14:J14)-SUM($AL14:AN14)),2)))</f>
        <v>0.0</v>
      </c>
      <c r="L14" s="31">
        <f>AP14+MIN(V13+AF14-AP14,MAX(0,ROUND(ROUND(Долги!$D$19-SUM($AL14:$AU14),2)-(SUM($H14:K14)-SUM($AL14:AO14)),2)))</f>
        <v>0.0</v>
      </c>
      <c r="M14" s="31">
        <f>AQ14+MIN(W13+AG14-AQ14,MAX(0,ROUND(ROUND(Долги!$D$19-SUM($AL14:$AU14),2)-(SUM($H14:L14)-SUM($AL14:AP14)),2)))</f>
        <v>0.0</v>
      </c>
      <c r="N14" s="31">
        <f>AR14+MIN(X13+AH14-AR14,MAX(0,ROUND(ROUND(Долги!$D$19-SUM($AL14:$AU14),2)-(SUM($H14:M14)-SUM($AL14:AQ14)),2)))</f>
        <v>0.0</v>
      </c>
      <c r="O14" s="31">
        <f>AS14+MIN(Y13+AI14-AS14,MAX(0,ROUND(ROUND(Долги!$D$19-SUM($AL14:$AU14),2)-(SUM($H14:N14)-SUM($AL14:AR14)),2)))</f>
        <v>0.0</v>
      </c>
      <c r="P14" s="31">
        <f>AT14+MIN(Z13+AJ14-AT14,MAX(0,ROUND(ROUND(Долги!$D$19-SUM($AL14:$AU14),2)-(SUM($H14:O14)-SUM($AL14:AS14)),2)))</f>
        <v>0.0</v>
      </c>
      <c r="Q14" s="31">
        <f>AU14+MIN(AA13+AK14-AU14,MAX(0,ROUND(ROUND(Долги!$D$19-SUM($AL14:$AU14),2)-(SUM($H14:P14)-SUM($AL14:AT14)),2)))</f>
        <v>0.0</v>
      </c>
      <c r="R14" s="31">
        <f>IF(R13+AB14-H14&lt;=0.01,0,ROUND(R13+AB14-H14,2))</f>
        <v>124533.88</v>
      </c>
      <c r="S14" s="31">
        <f>IF(S13+AC14-I14&lt;=0.01,0,ROUND(S13+AC14-I14,2))</f>
        <v>144990.8</v>
      </c>
      <c r="T14" s="31">
        <f>IF(T13+AD14-J14&lt;=0.01,0,ROUND(T13+AD14-J14,2))</f>
        <v>4000.0</v>
      </c>
      <c r="U14" s="31">
        <f>IF(U13+AE14-K14&lt;=0.01,0,ROUND(U13+AE14-K14,2))</f>
        <v>0.0</v>
      </c>
      <c r="V14" s="31">
        <f>IF(V13+AF14-L14&lt;=0.01,0,ROUND(V13+AF14-L14,2))</f>
        <v>0.0</v>
      </c>
      <c r="W14" s="31">
        <f>IF(W13+AG14-M14&lt;=0.01,0,ROUND(W13+AG14-M14,2))</f>
        <v>0.0</v>
      </c>
      <c r="X14" s="31">
        <f>IF(X13+AH14-N14&lt;=0.01,0,ROUND(X13+AH14-N14,2))</f>
        <v>0.0</v>
      </c>
      <c r="Y14" s="31">
        <f>IF(Y13+AI14-O14&lt;=0.01,0,ROUND(Y13+AI14-O14,2))</f>
        <v>0.0</v>
      </c>
      <c r="Z14" s="31">
        <f>IF(Z13+AJ14-P14&lt;=0.01,0,ROUND(Z13+AJ14-P14,2))</f>
        <v>0.0</v>
      </c>
      <c r="AA14" s="31">
        <f>IF(AA13+AK14-Q14&lt;=0.01,0,ROUND(AA13+AK14-Q14,2))</f>
        <v>0.0</v>
      </c>
      <c r="AB14" s="31">
        <f>ROUND(R13*AB$5/1200,2)</f>
        <v>4667.19</v>
      </c>
      <c r="AC14" s="31">
        <f>ROUND(S13*AC$5/1200,2)</f>
        <v>2361.22</v>
      </c>
      <c r="AD14" s="31">
        <f>ROUND(T13*AD$5/1200,2)</f>
        <v>0.0</v>
      </c>
      <c r="AE14" s="31">
        <f>ROUND(U13*AE$5/1200,2)</f>
        <v>0.0</v>
      </c>
      <c r="AF14" s="31">
        <f>ROUND(V13*AF$5/1200,2)</f>
        <v>0.0</v>
      </c>
      <c r="AG14" s="31">
        <f>ROUND(W13*AG$5/1200,2)</f>
        <v>0.0</v>
      </c>
      <c r="AH14" s="31">
        <f>ROUND(X13*AH$5/1200,2)</f>
        <v>0.0</v>
      </c>
      <c r="AI14" s="31">
        <f>ROUND(Y13*AI$5/1200,2)</f>
        <v>0.0</v>
      </c>
      <c r="AJ14" s="31">
        <f>ROUND(Z13*AJ$5/1200,2)</f>
        <v>0.0</v>
      </c>
      <c r="AK14" s="31">
        <f>ROUND(AA13*AK$5/1200,2)</f>
        <v>0.0</v>
      </c>
      <c r="AL14" s="31">
        <f>MIN(AL$5,R13+AB14)</f>
        <v>12500.0</v>
      </c>
      <c r="AM14" s="31">
        <f>MIN(AM$5,S13+AC14)</f>
        <v>6500.0</v>
      </c>
      <c r="AN14" s="31">
        <f>MIN(AN$5,T13+AD14)</f>
        <v>4000.0</v>
      </c>
      <c r="AO14" s="31">
        <f>MIN(AO$5,U13+AE14)</f>
        <v>0.0</v>
      </c>
      <c r="AP14" s="31">
        <f>MIN(AP$5,V13+AF14)</f>
        <v>0.0</v>
      </c>
      <c r="AQ14" s="31">
        <f>MIN(AQ$5,W13+AG14)</f>
        <v>0.0</v>
      </c>
      <c r="AR14" s="31">
        <f>MIN(AR$5,X13+AH14)</f>
        <v>0.0</v>
      </c>
      <c r="AS14" s="31">
        <f>MIN(AS$5,Y13+AI14)</f>
        <v>0.0</v>
      </c>
      <c r="AT14" s="31">
        <f>MIN(AT$5,Z13+AJ14)</f>
        <v>0.0</v>
      </c>
      <c r="AU14" s="31">
        <f>MIN(AU$5,AA13+AK14)</f>
        <v>0.0</v>
      </c>
    </row>
    <row r="15">
      <c r="A15" s="25">
        <f>IF(F14&gt;0.005,10,"")</f>
        <v>10</v>
      </c>
      <c r="B15" s="33">
        <f>IF(A15="","",EDATE(Долги!$D$5,9))</f>
        <v>46569</v>
      </c>
      <c r="C15" s="31">
        <f>SUM(H15:Q15)</f>
        <v>31000.0</v>
      </c>
      <c r="D15" s="31">
        <f>SUM(AB15:AK15)</f>
        <v>6436.44</v>
      </c>
      <c r="E15" s="31">
        <f>C15-D15</f>
        <v>24563.56</v>
      </c>
      <c r="F15" s="31">
        <f>SUM(R15:AA15)</f>
        <v>248961.12</v>
      </c>
      <c r="G15" s="34" t="str">
        <f>IF(OR(A15="",$F$5&lt;=0),"",REPT("█",ROUND(20*F15/$F$5,0)))</f>
        <v>███████████</v>
      </c>
      <c r="H15" s="31">
        <f>AL15+MIN(R14+AB15-AL15,MAX(0,ROUND(Долги!$D$19-SUM($AL15:$AU15),2)))</f>
        <v>20500.0</v>
      </c>
      <c r="I15" s="31">
        <f>AM15+MIN(S14+AC15-AM15,MAX(0,ROUND(ROUND(Долги!$D$19-SUM($AL15:$AU15),2)-(SUM($H15:H15)-SUM($AL15:AL15)),2)))</f>
        <v>6500.0</v>
      </c>
      <c r="J15" s="31">
        <f>AN15+MIN(T14+AD15-AN15,MAX(0,ROUND(ROUND(Долги!$D$19-SUM($AL15:$AU15),2)-(SUM($H15:I15)-SUM($AL15:AM15)),2)))</f>
        <v>4000.0</v>
      </c>
      <c r="K15" s="31">
        <f>AO15+MIN(U14+AE15-AO15,MAX(0,ROUND(ROUND(Долги!$D$19-SUM($AL15:$AU15),2)-(SUM($H15:J15)-SUM($AL15:AN15)),2)))</f>
        <v>0.0</v>
      </c>
      <c r="L15" s="31">
        <f>AP15+MIN(V14+AF15-AP15,MAX(0,ROUND(ROUND(Долги!$D$19-SUM($AL15:$AU15),2)-(SUM($H15:K15)-SUM($AL15:AO15)),2)))</f>
        <v>0.0</v>
      </c>
      <c r="M15" s="31">
        <f>AQ15+MIN(W14+AG15-AQ15,MAX(0,ROUND(ROUND(Долги!$D$19-SUM($AL15:$AU15),2)-(SUM($H15:L15)-SUM($AL15:AP15)),2)))</f>
        <v>0.0</v>
      </c>
      <c r="N15" s="31">
        <f>AR15+MIN(X14+AH15-AR15,MAX(0,ROUND(ROUND(Долги!$D$19-SUM($AL15:$AU15),2)-(SUM($H15:M15)-SUM($AL15:AQ15)),2)))</f>
        <v>0.0</v>
      </c>
      <c r="O15" s="31">
        <f>AS15+MIN(Y14+AI15-AS15,MAX(0,ROUND(ROUND(Долги!$D$19-SUM($AL15:$AU15),2)-(SUM($H15:N15)-SUM($AL15:AR15)),2)))</f>
        <v>0.0</v>
      </c>
      <c r="P15" s="31">
        <f>AT15+MIN(Z14+AJ15-AT15,MAX(0,ROUND(ROUND(Долги!$D$19-SUM($AL15:$AU15),2)-(SUM($H15:O15)-SUM($AL15:AS15)),2)))</f>
        <v>0.0</v>
      </c>
      <c r="Q15" s="31">
        <f>AU15+MIN(AA14+AK15-AU15,MAX(0,ROUND(ROUND(Долги!$D$19-SUM($AL15:$AU15),2)-(SUM($H15:P15)-SUM($AL15:AT15)),2)))</f>
        <v>0.0</v>
      </c>
      <c r="R15" s="31">
        <f>IF(R14+AB15-H15&lt;=0.01,0,ROUND(R14+AB15-H15,2))</f>
        <v>108174.63</v>
      </c>
      <c r="S15" s="31">
        <f>IF(S14+AC15-I15&lt;=0.01,0,ROUND(S14+AC15-I15,2))</f>
        <v>140786.49</v>
      </c>
      <c r="T15" s="31">
        <f>IF(T14+AD15-J15&lt;=0.01,0,ROUND(T14+AD15-J15,2))</f>
        <v>0.0</v>
      </c>
      <c r="U15" s="31">
        <f>IF(U14+AE15-K15&lt;=0.01,0,ROUND(U14+AE15-K15,2))</f>
        <v>0.0</v>
      </c>
      <c r="V15" s="31">
        <f>IF(V14+AF15-L15&lt;=0.01,0,ROUND(V14+AF15-L15,2))</f>
        <v>0.0</v>
      </c>
      <c r="W15" s="31">
        <f>IF(W14+AG15-M15&lt;=0.01,0,ROUND(W14+AG15-M15,2))</f>
        <v>0.0</v>
      </c>
      <c r="X15" s="31">
        <f>IF(X14+AH15-N15&lt;=0.01,0,ROUND(X14+AH15-N15,2))</f>
        <v>0.0</v>
      </c>
      <c r="Y15" s="31">
        <f>IF(Y14+AI15-O15&lt;=0.01,0,ROUND(Y14+AI15-O15,2))</f>
        <v>0.0</v>
      </c>
      <c r="Z15" s="31">
        <f>IF(Z14+AJ15-P15&lt;=0.01,0,ROUND(Z14+AJ15-P15,2))</f>
        <v>0.0</v>
      </c>
      <c r="AA15" s="31">
        <f>IF(AA14+AK15-Q15&lt;=0.01,0,ROUND(AA14+AK15-Q15,2))</f>
        <v>0.0</v>
      </c>
      <c r="AB15" s="31">
        <f>ROUND(R14*AB$5/1200,2)</f>
        <v>4140.75</v>
      </c>
      <c r="AC15" s="31">
        <f>ROUND(S14*AC$5/1200,2)</f>
        <v>2295.69</v>
      </c>
      <c r="AD15" s="31">
        <f>ROUND(T14*AD$5/1200,2)</f>
        <v>0.0</v>
      </c>
      <c r="AE15" s="31">
        <f>ROUND(U14*AE$5/1200,2)</f>
        <v>0.0</v>
      </c>
      <c r="AF15" s="31">
        <f>ROUND(V14*AF$5/1200,2)</f>
        <v>0.0</v>
      </c>
      <c r="AG15" s="31">
        <f>ROUND(W14*AG$5/1200,2)</f>
        <v>0.0</v>
      </c>
      <c r="AH15" s="31">
        <f>ROUND(X14*AH$5/1200,2)</f>
        <v>0.0</v>
      </c>
      <c r="AI15" s="31">
        <f>ROUND(Y14*AI$5/1200,2)</f>
        <v>0.0</v>
      </c>
      <c r="AJ15" s="31">
        <f>ROUND(Z14*AJ$5/1200,2)</f>
        <v>0.0</v>
      </c>
      <c r="AK15" s="31">
        <f>ROUND(AA14*AK$5/1200,2)</f>
        <v>0.0</v>
      </c>
      <c r="AL15" s="31">
        <f>MIN(AL$5,R14+AB15)</f>
        <v>12500.0</v>
      </c>
      <c r="AM15" s="31">
        <f>MIN(AM$5,S14+AC15)</f>
        <v>6500.0</v>
      </c>
      <c r="AN15" s="31">
        <f>MIN(AN$5,T14+AD15)</f>
        <v>4000.0</v>
      </c>
      <c r="AO15" s="31">
        <f>MIN(AO$5,U14+AE15)</f>
        <v>0.0</v>
      </c>
      <c r="AP15" s="31">
        <f>MIN(AP$5,V14+AF15)</f>
        <v>0.0</v>
      </c>
      <c r="AQ15" s="31">
        <f>MIN(AQ$5,W14+AG15)</f>
        <v>0.0</v>
      </c>
      <c r="AR15" s="31">
        <f>MIN(AR$5,X14+AH15)</f>
        <v>0.0</v>
      </c>
      <c r="AS15" s="31">
        <f>MIN(AS$5,Y14+AI15)</f>
        <v>0.0</v>
      </c>
      <c r="AT15" s="31">
        <f>MIN(AT$5,Z14+AJ15)</f>
        <v>0.0</v>
      </c>
      <c r="AU15" s="31">
        <f>MIN(AU$5,AA14+AK15)</f>
        <v>0.0</v>
      </c>
    </row>
    <row r="16">
      <c r="A16" s="25">
        <f>IF(F15&gt;0.005,11,"")</f>
        <v>11</v>
      </c>
      <c r="B16" s="33">
        <f>IF(A16="","",EDATE(Долги!$D$5,10))</f>
        <v>46600</v>
      </c>
      <c r="C16" s="31">
        <f>SUM(H16:Q16)</f>
        <v>31000.0</v>
      </c>
      <c r="D16" s="31">
        <f>SUM(AB16:AK16)</f>
        <v>5825.93</v>
      </c>
      <c r="E16" s="31">
        <f>C16-D16</f>
        <v>25174.07</v>
      </c>
      <c r="F16" s="31">
        <f>SUM(R16:AA16)</f>
        <v>223787.05</v>
      </c>
      <c r="G16" s="34" t="str">
        <f>IF(OR(A16="",$F$5&lt;=0),"",REPT("█",ROUND(20*F16/$F$5,0)))</f>
        <v>██████████</v>
      </c>
      <c r="H16" s="31">
        <f>AL16+MIN(R15+AB16-AL16,MAX(0,ROUND(Долги!$D$19-SUM($AL16:$AU16),2)))</f>
        <v>24500.0</v>
      </c>
      <c r="I16" s="31">
        <f>AM16+MIN(S15+AC16-AM16,MAX(0,ROUND(ROUND(Долги!$D$19-SUM($AL16:$AU16),2)-(SUM($H16:H16)-SUM($AL16:AL16)),2)))</f>
        <v>6500.0</v>
      </c>
      <c r="J16" s="31">
        <f>AN16+MIN(T15+AD16-AN16,MAX(0,ROUND(ROUND(Долги!$D$19-SUM($AL16:$AU16),2)-(SUM($H16:I16)-SUM($AL16:AM16)),2)))</f>
        <v>0.0</v>
      </c>
      <c r="K16" s="31">
        <f>AO16+MIN(U15+AE16-AO16,MAX(0,ROUND(ROUND(Долги!$D$19-SUM($AL16:$AU16),2)-(SUM($H16:J16)-SUM($AL16:AN16)),2)))</f>
        <v>0.0</v>
      </c>
      <c r="L16" s="31">
        <f>AP16+MIN(V15+AF16-AP16,MAX(0,ROUND(ROUND(Долги!$D$19-SUM($AL16:$AU16),2)-(SUM($H16:K16)-SUM($AL16:AO16)),2)))</f>
        <v>0.0</v>
      </c>
      <c r="M16" s="31">
        <f>AQ16+MIN(W15+AG16-AQ16,MAX(0,ROUND(ROUND(Долги!$D$19-SUM($AL16:$AU16),2)-(SUM($H16:L16)-SUM($AL16:AP16)),2)))</f>
        <v>0.0</v>
      </c>
      <c r="N16" s="31">
        <f>AR16+MIN(X15+AH16-AR16,MAX(0,ROUND(ROUND(Долги!$D$19-SUM($AL16:$AU16),2)-(SUM($H16:M16)-SUM($AL16:AQ16)),2)))</f>
        <v>0.0</v>
      </c>
      <c r="O16" s="31">
        <f>AS16+MIN(Y15+AI16-AS16,MAX(0,ROUND(ROUND(Долги!$D$19-SUM($AL16:$AU16),2)-(SUM($H16:N16)-SUM($AL16:AR16)),2)))</f>
        <v>0.0</v>
      </c>
      <c r="P16" s="31">
        <f>AT16+MIN(Z15+AJ16-AT16,MAX(0,ROUND(ROUND(Долги!$D$19-SUM($AL16:$AU16),2)-(SUM($H16:O16)-SUM($AL16:AS16)),2)))</f>
        <v>0.0</v>
      </c>
      <c r="Q16" s="31">
        <f>AU16+MIN(AA15+AK16-AU16,MAX(0,ROUND(ROUND(Долги!$D$19-SUM($AL16:$AU16),2)-(SUM($H16:P16)-SUM($AL16:AT16)),2)))</f>
        <v>0.0</v>
      </c>
      <c r="R16" s="31">
        <f>IF(R15+AB16-H16&lt;=0.01,0,ROUND(R15+AB16-H16,2))</f>
        <v>87271.44</v>
      </c>
      <c r="S16" s="31">
        <f>IF(S15+AC16-I16&lt;=0.01,0,ROUND(S15+AC16-I16,2))</f>
        <v>136515.61</v>
      </c>
      <c r="T16" s="31">
        <f>IF(T15+AD16-J16&lt;=0.01,0,ROUND(T15+AD16-J16,2))</f>
        <v>0.0</v>
      </c>
      <c r="U16" s="31">
        <f>IF(U15+AE16-K16&lt;=0.01,0,ROUND(U15+AE16-K16,2))</f>
        <v>0.0</v>
      </c>
      <c r="V16" s="31">
        <f>IF(V15+AF16-L16&lt;=0.01,0,ROUND(V15+AF16-L16,2))</f>
        <v>0.0</v>
      </c>
      <c r="W16" s="31">
        <f>IF(W15+AG16-M16&lt;=0.01,0,ROUND(W15+AG16-M16,2))</f>
        <v>0.0</v>
      </c>
      <c r="X16" s="31">
        <f>IF(X15+AH16-N16&lt;=0.01,0,ROUND(X15+AH16-N16,2))</f>
        <v>0.0</v>
      </c>
      <c r="Y16" s="31">
        <f>IF(Y15+AI16-O16&lt;=0.01,0,ROUND(Y15+AI16-O16,2))</f>
        <v>0.0</v>
      </c>
      <c r="Z16" s="31">
        <f>IF(Z15+AJ16-P16&lt;=0.01,0,ROUND(Z15+AJ16-P16,2))</f>
        <v>0.0</v>
      </c>
      <c r="AA16" s="31">
        <f>IF(AA15+AK16-Q16&lt;=0.01,0,ROUND(AA15+AK16-Q16,2))</f>
        <v>0.0</v>
      </c>
      <c r="AB16" s="31">
        <f>ROUND(R15*AB$5/1200,2)</f>
        <v>3596.81</v>
      </c>
      <c r="AC16" s="31">
        <f>ROUND(S15*AC$5/1200,2)</f>
        <v>2229.12</v>
      </c>
      <c r="AD16" s="31">
        <f>ROUND(T15*AD$5/1200,2)</f>
        <v>0.0</v>
      </c>
      <c r="AE16" s="31">
        <f>ROUND(U15*AE$5/1200,2)</f>
        <v>0.0</v>
      </c>
      <c r="AF16" s="31">
        <f>ROUND(V15*AF$5/1200,2)</f>
        <v>0.0</v>
      </c>
      <c r="AG16" s="31">
        <f>ROUND(W15*AG$5/1200,2)</f>
        <v>0.0</v>
      </c>
      <c r="AH16" s="31">
        <f>ROUND(X15*AH$5/1200,2)</f>
        <v>0.0</v>
      </c>
      <c r="AI16" s="31">
        <f>ROUND(Y15*AI$5/1200,2)</f>
        <v>0.0</v>
      </c>
      <c r="AJ16" s="31">
        <f>ROUND(Z15*AJ$5/1200,2)</f>
        <v>0.0</v>
      </c>
      <c r="AK16" s="31">
        <f>ROUND(AA15*AK$5/1200,2)</f>
        <v>0.0</v>
      </c>
      <c r="AL16" s="31">
        <f>MIN(AL$5,R15+AB16)</f>
        <v>12500.0</v>
      </c>
      <c r="AM16" s="31">
        <f>MIN(AM$5,S15+AC16)</f>
        <v>6500.0</v>
      </c>
      <c r="AN16" s="31">
        <f>MIN(AN$5,T15+AD16)</f>
        <v>0.0</v>
      </c>
      <c r="AO16" s="31">
        <f>MIN(AO$5,U15+AE16)</f>
        <v>0.0</v>
      </c>
      <c r="AP16" s="31">
        <f>MIN(AP$5,V15+AF16)</f>
        <v>0.0</v>
      </c>
      <c r="AQ16" s="31">
        <f>MIN(AQ$5,W15+AG16)</f>
        <v>0.0</v>
      </c>
      <c r="AR16" s="31">
        <f>MIN(AR$5,X15+AH16)</f>
        <v>0.0</v>
      </c>
      <c r="AS16" s="31">
        <f>MIN(AS$5,Y15+AI16)</f>
        <v>0.0</v>
      </c>
      <c r="AT16" s="31">
        <f>MIN(AT$5,Z15+AJ16)</f>
        <v>0.0</v>
      </c>
      <c r="AU16" s="31">
        <f>MIN(AU$5,AA15+AK16)</f>
        <v>0.0</v>
      </c>
    </row>
    <row r="17">
      <c r="A17" s="25">
        <f>IF(F16&gt;0.005,12,"")</f>
        <v>12</v>
      </c>
      <c r="B17" s="33">
        <f>IF(A17="","",EDATE(Долги!$D$5,11))</f>
        <v>46631</v>
      </c>
      <c r="C17" s="31">
        <f>SUM(H17:Q17)</f>
        <v>31000.0</v>
      </c>
      <c r="D17" s="31">
        <f>SUM(AB17:AK17)</f>
        <v>5063.28</v>
      </c>
      <c r="E17" s="31">
        <f>C17-D17</f>
        <v>25936.72</v>
      </c>
      <c r="F17" s="31">
        <f>SUM(R17:AA17)</f>
        <v>197850.33</v>
      </c>
      <c r="G17" s="34" t="str">
        <f>IF(OR(A17="",$F$5&lt;=0),"",REPT("█",ROUND(20*F17/$F$5,0)))</f>
        <v>████████</v>
      </c>
      <c r="H17" s="31">
        <f>AL17+MIN(R16+AB17-AL17,MAX(0,ROUND(Долги!$D$19-SUM($AL17:$AU17),2)))</f>
        <v>24500.0</v>
      </c>
      <c r="I17" s="31">
        <f>AM17+MIN(S16+AC17-AM17,MAX(0,ROUND(ROUND(Долги!$D$19-SUM($AL17:$AU17),2)-(SUM($H17:H17)-SUM($AL17:AL17)),2)))</f>
        <v>6500.0</v>
      </c>
      <c r="J17" s="31">
        <f>AN17+MIN(T16+AD17-AN17,MAX(0,ROUND(ROUND(Долги!$D$19-SUM($AL17:$AU17),2)-(SUM($H17:I17)-SUM($AL17:AM17)),2)))</f>
        <v>0.0</v>
      </c>
      <c r="K17" s="31">
        <f>AO17+MIN(U16+AE17-AO17,MAX(0,ROUND(ROUND(Долги!$D$19-SUM($AL17:$AU17),2)-(SUM($H17:J17)-SUM($AL17:AN17)),2)))</f>
        <v>0.0</v>
      </c>
      <c r="L17" s="31">
        <f>AP17+MIN(V16+AF17-AP17,MAX(0,ROUND(ROUND(Долги!$D$19-SUM($AL17:$AU17),2)-(SUM($H17:K17)-SUM($AL17:AO17)),2)))</f>
        <v>0.0</v>
      </c>
      <c r="M17" s="31">
        <f>AQ17+MIN(W16+AG17-AQ17,MAX(0,ROUND(ROUND(Долги!$D$19-SUM($AL17:$AU17),2)-(SUM($H17:L17)-SUM($AL17:AP17)),2)))</f>
        <v>0.0</v>
      </c>
      <c r="N17" s="31">
        <f>AR17+MIN(X16+AH17-AR17,MAX(0,ROUND(ROUND(Долги!$D$19-SUM($AL17:$AU17),2)-(SUM($H17:M17)-SUM($AL17:AQ17)),2)))</f>
        <v>0.0</v>
      </c>
      <c r="O17" s="31">
        <f>AS17+MIN(Y16+AI17-AS17,MAX(0,ROUND(ROUND(Долги!$D$19-SUM($AL17:$AU17),2)-(SUM($H17:N17)-SUM($AL17:AR17)),2)))</f>
        <v>0.0</v>
      </c>
      <c r="P17" s="31">
        <f>AT17+MIN(Z16+AJ17-AT17,MAX(0,ROUND(ROUND(Долги!$D$19-SUM($AL17:$AU17),2)-(SUM($H17:O17)-SUM($AL17:AS17)),2)))</f>
        <v>0.0</v>
      </c>
      <c r="Q17" s="31">
        <f>AU17+MIN(AA16+AK17-AU17,MAX(0,ROUND(ROUND(Долги!$D$19-SUM($AL17:$AU17),2)-(SUM($H17:P17)-SUM($AL17:AT17)),2)))</f>
        <v>0.0</v>
      </c>
      <c r="R17" s="31">
        <f>IF(R16+AB17-H17&lt;=0.01,0,ROUND(R16+AB17-H17,2))</f>
        <v>65673.22</v>
      </c>
      <c r="S17" s="31">
        <f>IF(S16+AC17-I17&lt;=0.01,0,ROUND(S16+AC17-I17,2))</f>
        <v>132177.11</v>
      </c>
      <c r="T17" s="31">
        <f>IF(T16+AD17-J17&lt;=0.01,0,ROUND(T16+AD17-J17,2))</f>
        <v>0.0</v>
      </c>
      <c r="U17" s="31">
        <f>IF(U16+AE17-K17&lt;=0.01,0,ROUND(U16+AE17-K17,2))</f>
        <v>0.0</v>
      </c>
      <c r="V17" s="31">
        <f>IF(V16+AF17-L17&lt;=0.01,0,ROUND(V16+AF17-L17,2))</f>
        <v>0.0</v>
      </c>
      <c r="W17" s="31">
        <f>IF(W16+AG17-M17&lt;=0.01,0,ROUND(W16+AG17-M17,2))</f>
        <v>0.0</v>
      </c>
      <c r="X17" s="31">
        <f>IF(X16+AH17-N17&lt;=0.01,0,ROUND(X16+AH17-N17,2))</f>
        <v>0.0</v>
      </c>
      <c r="Y17" s="31">
        <f>IF(Y16+AI17-O17&lt;=0.01,0,ROUND(Y16+AI17-O17,2))</f>
        <v>0.0</v>
      </c>
      <c r="Z17" s="31">
        <f>IF(Z16+AJ17-P17&lt;=0.01,0,ROUND(Z16+AJ17-P17,2))</f>
        <v>0.0</v>
      </c>
      <c r="AA17" s="31">
        <f>IF(AA16+AK17-Q17&lt;=0.01,0,ROUND(AA16+AK17-Q17,2))</f>
        <v>0.0</v>
      </c>
      <c r="AB17" s="31">
        <f>ROUND(R16*AB$5/1200,2)</f>
        <v>2901.78</v>
      </c>
      <c r="AC17" s="31">
        <f>ROUND(S16*AC$5/1200,2)</f>
        <v>2161.5</v>
      </c>
      <c r="AD17" s="31">
        <f>ROUND(T16*AD$5/1200,2)</f>
        <v>0.0</v>
      </c>
      <c r="AE17" s="31">
        <f>ROUND(U16*AE$5/1200,2)</f>
        <v>0.0</v>
      </c>
      <c r="AF17" s="31">
        <f>ROUND(V16*AF$5/1200,2)</f>
        <v>0.0</v>
      </c>
      <c r="AG17" s="31">
        <f>ROUND(W16*AG$5/1200,2)</f>
        <v>0.0</v>
      </c>
      <c r="AH17" s="31">
        <f>ROUND(X16*AH$5/1200,2)</f>
        <v>0.0</v>
      </c>
      <c r="AI17" s="31">
        <f>ROUND(Y16*AI$5/1200,2)</f>
        <v>0.0</v>
      </c>
      <c r="AJ17" s="31">
        <f>ROUND(Z16*AJ$5/1200,2)</f>
        <v>0.0</v>
      </c>
      <c r="AK17" s="31">
        <f>ROUND(AA16*AK$5/1200,2)</f>
        <v>0.0</v>
      </c>
      <c r="AL17" s="31">
        <f>MIN(AL$5,R16+AB17)</f>
        <v>12500.0</v>
      </c>
      <c r="AM17" s="31">
        <f>MIN(AM$5,S16+AC17)</f>
        <v>6500.0</v>
      </c>
      <c r="AN17" s="31">
        <f>MIN(AN$5,T16+AD17)</f>
        <v>0.0</v>
      </c>
      <c r="AO17" s="31">
        <f>MIN(AO$5,U16+AE17)</f>
        <v>0.0</v>
      </c>
      <c r="AP17" s="31">
        <f>MIN(AP$5,V16+AF17)</f>
        <v>0.0</v>
      </c>
      <c r="AQ17" s="31">
        <f>MIN(AQ$5,W16+AG17)</f>
        <v>0.0</v>
      </c>
      <c r="AR17" s="31">
        <f>MIN(AR$5,X16+AH17)</f>
        <v>0.0</v>
      </c>
      <c r="AS17" s="31">
        <f>MIN(AS$5,Y16+AI17)</f>
        <v>0.0</v>
      </c>
      <c r="AT17" s="31">
        <f>MIN(AT$5,Z16+AJ17)</f>
        <v>0.0</v>
      </c>
      <c r="AU17" s="31">
        <f>MIN(AU$5,AA16+AK17)</f>
        <v>0.0</v>
      </c>
    </row>
    <row r="18">
      <c r="A18" s="25">
        <f>IF(F17&gt;0.005,13,"")</f>
        <v>13</v>
      </c>
      <c r="B18" s="33">
        <f>IF(A18="","",EDATE(Долги!$D$5,12))</f>
        <v>46661</v>
      </c>
      <c r="C18" s="31">
        <f>SUM(H18:Q18)</f>
        <v>31000.0</v>
      </c>
      <c r="D18" s="31">
        <f>SUM(AB18:AK18)</f>
        <v>4276.43</v>
      </c>
      <c r="E18" s="31">
        <f>C18-D18</f>
        <v>26723.57</v>
      </c>
      <c r="F18" s="31">
        <f>SUM(R18:AA18)</f>
        <v>171126.76</v>
      </c>
      <c r="G18" s="34" t="str">
        <f>IF(OR(A18="",$F$5&lt;=0),"",REPT("█",ROUND(20*F18/$F$5,0)))</f>
        <v>███████</v>
      </c>
      <c r="H18" s="31">
        <f>AL18+MIN(R17+AB18-AL18,MAX(0,ROUND(Долги!$D$19-SUM($AL18:$AU18),2)))</f>
        <v>24500.0</v>
      </c>
      <c r="I18" s="31">
        <f>AM18+MIN(S17+AC18-AM18,MAX(0,ROUND(ROUND(Долги!$D$19-SUM($AL18:$AU18),2)-(SUM($H18:H18)-SUM($AL18:AL18)),2)))</f>
        <v>6500.0</v>
      </c>
      <c r="J18" s="31">
        <f>AN18+MIN(T17+AD18-AN18,MAX(0,ROUND(ROUND(Долги!$D$19-SUM($AL18:$AU18),2)-(SUM($H18:I18)-SUM($AL18:AM18)),2)))</f>
        <v>0.0</v>
      </c>
      <c r="K18" s="31">
        <f>AO18+MIN(U17+AE18-AO18,MAX(0,ROUND(ROUND(Долги!$D$19-SUM($AL18:$AU18),2)-(SUM($H18:J18)-SUM($AL18:AN18)),2)))</f>
        <v>0.0</v>
      </c>
      <c r="L18" s="31">
        <f>AP18+MIN(V17+AF18-AP18,MAX(0,ROUND(ROUND(Долги!$D$19-SUM($AL18:$AU18),2)-(SUM($H18:K18)-SUM($AL18:AO18)),2)))</f>
        <v>0.0</v>
      </c>
      <c r="M18" s="31">
        <f>AQ18+MIN(W17+AG18-AQ18,MAX(0,ROUND(ROUND(Долги!$D$19-SUM($AL18:$AU18),2)-(SUM($H18:L18)-SUM($AL18:AP18)),2)))</f>
        <v>0.0</v>
      </c>
      <c r="N18" s="31">
        <f>AR18+MIN(X17+AH18-AR18,MAX(0,ROUND(ROUND(Долги!$D$19-SUM($AL18:$AU18),2)-(SUM($H18:M18)-SUM($AL18:AQ18)),2)))</f>
        <v>0.0</v>
      </c>
      <c r="O18" s="31">
        <f>AS18+MIN(Y17+AI18-AS18,MAX(0,ROUND(ROUND(Долги!$D$19-SUM($AL18:$AU18),2)-(SUM($H18:N18)-SUM($AL18:AR18)),2)))</f>
        <v>0.0</v>
      </c>
      <c r="P18" s="31">
        <f>AT18+MIN(Z17+AJ18-AT18,MAX(0,ROUND(ROUND(Долги!$D$19-SUM($AL18:$AU18),2)-(SUM($H18:O18)-SUM($AL18:AS18)),2)))</f>
        <v>0.0</v>
      </c>
      <c r="Q18" s="31">
        <f>AU18+MIN(AA17+AK18-AU18,MAX(0,ROUND(ROUND(Долги!$D$19-SUM($AL18:$AU18),2)-(SUM($H18:P18)-SUM($AL18:AT18)),2)))</f>
        <v>0.0</v>
      </c>
      <c r="R18" s="31">
        <f>IF(R17+AB18-H18&lt;=0.01,0,ROUND(R17+AB18-H18,2))</f>
        <v>43356.85</v>
      </c>
      <c r="S18" s="31">
        <f>IF(S17+AC18-I18&lt;=0.01,0,ROUND(S17+AC18-I18,2))</f>
        <v>127769.91</v>
      </c>
      <c r="T18" s="31">
        <f>IF(T17+AD18-J18&lt;=0.01,0,ROUND(T17+AD18-J18,2))</f>
        <v>0.0</v>
      </c>
      <c r="U18" s="31">
        <f>IF(U17+AE18-K18&lt;=0.01,0,ROUND(U17+AE18-K18,2))</f>
        <v>0.0</v>
      </c>
      <c r="V18" s="31">
        <f>IF(V17+AF18-L18&lt;=0.01,0,ROUND(V17+AF18-L18,2))</f>
        <v>0.0</v>
      </c>
      <c r="W18" s="31">
        <f>IF(W17+AG18-M18&lt;=0.01,0,ROUND(W17+AG18-M18,2))</f>
        <v>0.0</v>
      </c>
      <c r="X18" s="31">
        <f>IF(X17+AH18-N18&lt;=0.01,0,ROUND(X17+AH18-N18,2))</f>
        <v>0.0</v>
      </c>
      <c r="Y18" s="31">
        <f>IF(Y17+AI18-O18&lt;=0.01,0,ROUND(Y17+AI18-O18,2))</f>
        <v>0.0</v>
      </c>
      <c r="Z18" s="31">
        <f>IF(Z17+AJ18-P18&lt;=0.01,0,ROUND(Z17+AJ18-P18,2))</f>
        <v>0.0</v>
      </c>
      <c r="AA18" s="31">
        <f>IF(AA17+AK18-Q18&lt;=0.01,0,ROUND(AA17+AK18-Q18,2))</f>
        <v>0.0</v>
      </c>
      <c r="AB18" s="31">
        <f>ROUND(R17*AB$5/1200,2)</f>
        <v>2183.63</v>
      </c>
      <c r="AC18" s="31">
        <f>ROUND(S17*AC$5/1200,2)</f>
        <v>2092.8</v>
      </c>
      <c r="AD18" s="31">
        <f>ROUND(T17*AD$5/1200,2)</f>
        <v>0.0</v>
      </c>
      <c r="AE18" s="31">
        <f>ROUND(U17*AE$5/1200,2)</f>
        <v>0.0</v>
      </c>
      <c r="AF18" s="31">
        <f>ROUND(V17*AF$5/1200,2)</f>
        <v>0.0</v>
      </c>
      <c r="AG18" s="31">
        <f>ROUND(W17*AG$5/1200,2)</f>
        <v>0.0</v>
      </c>
      <c r="AH18" s="31">
        <f>ROUND(X17*AH$5/1200,2)</f>
        <v>0.0</v>
      </c>
      <c r="AI18" s="31">
        <f>ROUND(Y17*AI$5/1200,2)</f>
        <v>0.0</v>
      </c>
      <c r="AJ18" s="31">
        <f>ROUND(Z17*AJ$5/1200,2)</f>
        <v>0.0</v>
      </c>
      <c r="AK18" s="31">
        <f>ROUND(AA17*AK$5/1200,2)</f>
        <v>0.0</v>
      </c>
      <c r="AL18" s="31">
        <f>MIN(AL$5,R17+AB18)</f>
        <v>12500.0</v>
      </c>
      <c r="AM18" s="31">
        <f>MIN(AM$5,S17+AC18)</f>
        <v>6500.0</v>
      </c>
      <c r="AN18" s="31">
        <f>MIN(AN$5,T17+AD18)</f>
        <v>0.0</v>
      </c>
      <c r="AO18" s="31">
        <f>MIN(AO$5,U17+AE18)</f>
        <v>0.0</v>
      </c>
      <c r="AP18" s="31">
        <f>MIN(AP$5,V17+AF18)</f>
        <v>0.0</v>
      </c>
      <c r="AQ18" s="31">
        <f>MIN(AQ$5,W17+AG18)</f>
        <v>0.0</v>
      </c>
      <c r="AR18" s="31">
        <f>MIN(AR$5,X17+AH18)</f>
        <v>0.0</v>
      </c>
      <c r="AS18" s="31">
        <f>MIN(AS$5,Y17+AI18)</f>
        <v>0.0</v>
      </c>
      <c r="AT18" s="31">
        <f>MIN(AT$5,Z17+AJ18)</f>
        <v>0.0</v>
      </c>
      <c r="AU18" s="31">
        <f>MIN(AU$5,AA17+AK18)</f>
        <v>0.0</v>
      </c>
    </row>
    <row r="19">
      <c r="A19" s="25">
        <f>IF(F18&gt;0.005,14,"")</f>
        <v>14</v>
      </c>
      <c r="B19" s="33">
        <f>IF(A19="","",EDATE(Долги!$D$5,13))</f>
        <v>46692</v>
      </c>
      <c r="C19" s="31">
        <f>SUM(H19:Q19)</f>
        <v>31000.0</v>
      </c>
      <c r="D19" s="31">
        <f>SUM(AB19:AK19)</f>
        <v>3464.64</v>
      </c>
      <c r="E19" s="31">
        <f>C19-D19</f>
        <v>27535.36</v>
      </c>
      <c r="F19" s="31">
        <f>SUM(R19:AA19)</f>
        <v>143591.4</v>
      </c>
      <c r="G19" s="34" t="str">
        <f>IF(OR(A19="",$F$5&lt;=0),"",REPT("█",ROUND(20*F19/$F$5,0)))</f>
        <v>██████</v>
      </c>
      <c r="H19" s="31">
        <f>AL19+MIN(R18+AB19-AL19,MAX(0,ROUND(Долги!$D$19-SUM($AL19:$AU19),2)))</f>
        <v>24500.0</v>
      </c>
      <c r="I19" s="31">
        <f>AM19+MIN(S18+AC19-AM19,MAX(0,ROUND(ROUND(Долги!$D$19-SUM($AL19:$AU19),2)-(SUM($H19:H19)-SUM($AL19:AL19)),2)))</f>
        <v>6500.0</v>
      </c>
      <c r="J19" s="31">
        <f>AN19+MIN(T18+AD19-AN19,MAX(0,ROUND(ROUND(Долги!$D$19-SUM($AL19:$AU19),2)-(SUM($H19:I19)-SUM($AL19:AM19)),2)))</f>
        <v>0.0</v>
      </c>
      <c r="K19" s="31">
        <f>AO19+MIN(U18+AE19-AO19,MAX(0,ROUND(ROUND(Долги!$D$19-SUM($AL19:$AU19),2)-(SUM($H19:J19)-SUM($AL19:AN19)),2)))</f>
        <v>0.0</v>
      </c>
      <c r="L19" s="31">
        <f>AP19+MIN(V18+AF19-AP19,MAX(0,ROUND(ROUND(Долги!$D$19-SUM($AL19:$AU19),2)-(SUM($H19:K19)-SUM($AL19:AO19)),2)))</f>
        <v>0.0</v>
      </c>
      <c r="M19" s="31">
        <f>AQ19+MIN(W18+AG19-AQ19,MAX(0,ROUND(ROUND(Долги!$D$19-SUM($AL19:$AU19),2)-(SUM($H19:L19)-SUM($AL19:AP19)),2)))</f>
        <v>0.0</v>
      </c>
      <c r="N19" s="31">
        <f>AR19+MIN(X18+AH19-AR19,MAX(0,ROUND(ROUND(Долги!$D$19-SUM($AL19:$AU19),2)-(SUM($H19:M19)-SUM($AL19:AQ19)),2)))</f>
        <v>0.0</v>
      </c>
      <c r="O19" s="31">
        <f>AS19+MIN(Y18+AI19-AS19,MAX(0,ROUND(ROUND(Долги!$D$19-SUM($AL19:$AU19),2)-(SUM($H19:N19)-SUM($AL19:AR19)),2)))</f>
        <v>0.0</v>
      </c>
      <c r="P19" s="31">
        <f>AT19+MIN(Z18+AJ19-AT19,MAX(0,ROUND(ROUND(Долги!$D$19-SUM($AL19:$AU19),2)-(SUM($H19:O19)-SUM($AL19:AS19)),2)))</f>
        <v>0.0</v>
      </c>
      <c r="Q19" s="31">
        <f>AU19+MIN(AA18+AK19-AU19,MAX(0,ROUND(ROUND(Долги!$D$19-SUM($AL19:$AU19),2)-(SUM($H19:P19)-SUM($AL19:AT19)),2)))</f>
        <v>0.0</v>
      </c>
      <c r="R19" s="31">
        <f>IF(R18+AB19-H19&lt;=0.01,0,ROUND(R18+AB19-H19,2))</f>
        <v>20298.47</v>
      </c>
      <c r="S19" s="31">
        <f>IF(S18+AC19-I19&lt;=0.01,0,ROUND(S18+AC19-I19,2))</f>
        <v>123292.93</v>
      </c>
      <c r="T19" s="31">
        <f>IF(T18+AD19-J19&lt;=0.01,0,ROUND(T18+AD19-J19,2))</f>
        <v>0.0</v>
      </c>
      <c r="U19" s="31">
        <f>IF(U18+AE19-K19&lt;=0.01,0,ROUND(U18+AE19-K19,2))</f>
        <v>0.0</v>
      </c>
      <c r="V19" s="31">
        <f>IF(V18+AF19-L19&lt;=0.01,0,ROUND(V18+AF19-L19,2))</f>
        <v>0.0</v>
      </c>
      <c r="W19" s="31">
        <f>IF(W18+AG19-M19&lt;=0.01,0,ROUND(W18+AG19-M19,2))</f>
        <v>0.0</v>
      </c>
      <c r="X19" s="31">
        <f>IF(X18+AH19-N19&lt;=0.01,0,ROUND(X18+AH19-N19,2))</f>
        <v>0.0</v>
      </c>
      <c r="Y19" s="31">
        <f>IF(Y18+AI19-O19&lt;=0.01,0,ROUND(Y18+AI19-O19,2))</f>
        <v>0.0</v>
      </c>
      <c r="Z19" s="31">
        <f>IF(Z18+AJ19-P19&lt;=0.01,0,ROUND(Z18+AJ19-P19,2))</f>
        <v>0.0</v>
      </c>
      <c r="AA19" s="31">
        <f>IF(AA18+AK19-Q19&lt;=0.01,0,ROUND(AA18+AK19-Q19,2))</f>
        <v>0.0</v>
      </c>
      <c r="AB19" s="31">
        <f>ROUND(R18*AB$5/1200,2)</f>
        <v>1441.62</v>
      </c>
      <c r="AC19" s="31">
        <f>ROUND(S18*AC$5/1200,2)</f>
        <v>2023.02</v>
      </c>
      <c r="AD19" s="31">
        <f>ROUND(T18*AD$5/1200,2)</f>
        <v>0.0</v>
      </c>
      <c r="AE19" s="31">
        <f>ROUND(U18*AE$5/1200,2)</f>
        <v>0.0</v>
      </c>
      <c r="AF19" s="31">
        <f>ROUND(V18*AF$5/1200,2)</f>
        <v>0.0</v>
      </c>
      <c r="AG19" s="31">
        <f>ROUND(W18*AG$5/1200,2)</f>
        <v>0.0</v>
      </c>
      <c r="AH19" s="31">
        <f>ROUND(X18*AH$5/1200,2)</f>
        <v>0.0</v>
      </c>
      <c r="AI19" s="31">
        <f>ROUND(Y18*AI$5/1200,2)</f>
        <v>0.0</v>
      </c>
      <c r="AJ19" s="31">
        <f>ROUND(Z18*AJ$5/1200,2)</f>
        <v>0.0</v>
      </c>
      <c r="AK19" s="31">
        <f>ROUND(AA18*AK$5/1200,2)</f>
        <v>0.0</v>
      </c>
      <c r="AL19" s="31">
        <f>MIN(AL$5,R18+AB19)</f>
        <v>12500.0</v>
      </c>
      <c r="AM19" s="31">
        <f>MIN(AM$5,S18+AC19)</f>
        <v>6500.0</v>
      </c>
      <c r="AN19" s="31">
        <f>MIN(AN$5,T18+AD19)</f>
        <v>0.0</v>
      </c>
      <c r="AO19" s="31">
        <f>MIN(AO$5,U18+AE19)</f>
        <v>0.0</v>
      </c>
      <c r="AP19" s="31">
        <f>MIN(AP$5,V18+AF19)</f>
        <v>0.0</v>
      </c>
      <c r="AQ19" s="31">
        <f>MIN(AQ$5,W18+AG19)</f>
        <v>0.0</v>
      </c>
      <c r="AR19" s="31">
        <f>MIN(AR$5,X18+AH19)</f>
        <v>0.0</v>
      </c>
      <c r="AS19" s="31">
        <f>MIN(AS$5,Y18+AI19)</f>
        <v>0.0</v>
      </c>
      <c r="AT19" s="31">
        <f>MIN(AT$5,Z18+AJ19)</f>
        <v>0.0</v>
      </c>
      <c r="AU19" s="31">
        <f>MIN(AU$5,AA18+AK19)</f>
        <v>0.0</v>
      </c>
    </row>
    <row r="20">
      <c r="A20" s="25">
        <f>IF(F19&gt;0.005,15,"")</f>
        <v>15</v>
      </c>
      <c r="B20" s="33">
        <f>IF(A20="","",EDATE(Долги!$D$5,14))</f>
        <v>46722</v>
      </c>
      <c r="C20" s="31">
        <f>SUM(H20:Q20)</f>
        <v>31000.0</v>
      </c>
      <c r="D20" s="31">
        <f>SUM(AB20:AK20)</f>
        <v>2627.06</v>
      </c>
      <c r="E20" s="31">
        <f>C20-D20</f>
        <v>28372.94</v>
      </c>
      <c r="F20" s="31">
        <f>SUM(R20:AA20)</f>
        <v>115218.46</v>
      </c>
      <c r="G20" s="34" t="str">
        <f>IF(OR(A20="",$F$5&lt;=0),"",REPT("█",ROUND(20*F20/$F$5,0)))</f>
        <v>█████</v>
      </c>
      <c r="H20" s="31">
        <f>AL20+MIN(R19+AB20-AL20,MAX(0,ROUND(Долги!$D$19-SUM($AL20:$AU20),2)))</f>
        <v>20973.39</v>
      </c>
      <c r="I20" s="31">
        <f>AM20+MIN(S19+AC20-AM20,MAX(0,ROUND(ROUND(Долги!$D$19-SUM($AL20:$AU20),2)-(SUM($H20:H20)-SUM($AL20:AL20)),2)))</f>
        <v>10026.61</v>
      </c>
      <c r="J20" s="31">
        <f>AN20+MIN(T19+AD20-AN20,MAX(0,ROUND(ROUND(Долги!$D$19-SUM($AL20:$AU20),2)-(SUM($H20:I20)-SUM($AL20:AM20)),2)))</f>
        <v>0.0</v>
      </c>
      <c r="K20" s="31">
        <f>AO20+MIN(U19+AE20-AO20,MAX(0,ROUND(ROUND(Долги!$D$19-SUM($AL20:$AU20),2)-(SUM($H20:J20)-SUM($AL20:AN20)),2)))</f>
        <v>0.0</v>
      </c>
      <c r="L20" s="31">
        <f>AP20+MIN(V19+AF20-AP20,MAX(0,ROUND(ROUND(Долги!$D$19-SUM($AL20:$AU20),2)-(SUM($H20:K20)-SUM($AL20:AO20)),2)))</f>
        <v>0.0</v>
      </c>
      <c r="M20" s="31">
        <f>AQ20+MIN(W19+AG20-AQ20,MAX(0,ROUND(ROUND(Долги!$D$19-SUM($AL20:$AU20),2)-(SUM($H20:L20)-SUM($AL20:AP20)),2)))</f>
        <v>0.0</v>
      </c>
      <c r="N20" s="31">
        <f>AR20+MIN(X19+AH20-AR20,MAX(0,ROUND(ROUND(Долги!$D$19-SUM($AL20:$AU20),2)-(SUM($H20:M20)-SUM($AL20:AQ20)),2)))</f>
        <v>0.0</v>
      </c>
      <c r="O20" s="31">
        <f>AS20+MIN(Y19+AI20-AS20,MAX(0,ROUND(ROUND(Долги!$D$19-SUM($AL20:$AU20),2)-(SUM($H20:N20)-SUM($AL20:AR20)),2)))</f>
        <v>0.0</v>
      </c>
      <c r="P20" s="31">
        <f>AT20+MIN(Z19+AJ20-AT20,MAX(0,ROUND(ROUND(Долги!$D$19-SUM($AL20:$AU20),2)-(SUM($H20:O20)-SUM($AL20:AS20)),2)))</f>
        <v>0.0</v>
      </c>
      <c r="Q20" s="31">
        <f>AU20+MIN(AA19+AK20-AU20,MAX(0,ROUND(ROUND(Долги!$D$19-SUM($AL20:$AU20),2)-(SUM($H20:P20)-SUM($AL20:AT20)),2)))</f>
        <v>0.0</v>
      </c>
      <c r="R20" s="31">
        <f>IF(R19+AB20-H20&lt;=0.01,0,ROUND(R19+AB20-H20,2))</f>
        <v>0.0</v>
      </c>
      <c r="S20" s="31">
        <f>IF(S19+AC20-I20&lt;=0.01,0,ROUND(S19+AC20-I20,2))</f>
        <v>115218.46</v>
      </c>
      <c r="T20" s="31">
        <f>IF(T19+AD20-J20&lt;=0.01,0,ROUND(T19+AD20-J20,2))</f>
        <v>0.0</v>
      </c>
      <c r="U20" s="31">
        <f>IF(U19+AE20-K20&lt;=0.01,0,ROUND(U19+AE20-K20,2))</f>
        <v>0.0</v>
      </c>
      <c r="V20" s="31">
        <f>IF(V19+AF20-L20&lt;=0.01,0,ROUND(V19+AF20-L20,2))</f>
        <v>0.0</v>
      </c>
      <c r="W20" s="31">
        <f>IF(W19+AG20-M20&lt;=0.01,0,ROUND(W19+AG20-M20,2))</f>
        <v>0.0</v>
      </c>
      <c r="X20" s="31">
        <f>IF(X19+AH20-N20&lt;=0.01,0,ROUND(X19+AH20-N20,2))</f>
        <v>0.0</v>
      </c>
      <c r="Y20" s="31">
        <f>IF(Y19+AI20-O20&lt;=0.01,0,ROUND(Y19+AI20-O20,2))</f>
        <v>0.0</v>
      </c>
      <c r="Z20" s="31">
        <f>IF(Z19+AJ20-P20&lt;=0.01,0,ROUND(Z19+AJ20-P20,2))</f>
        <v>0.0</v>
      </c>
      <c r="AA20" s="31">
        <f>IF(AA19+AK20-Q20&lt;=0.01,0,ROUND(AA19+AK20-Q20,2))</f>
        <v>0.0</v>
      </c>
      <c r="AB20" s="31">
        <f>ROUND(R19*AB$5/1200,2)</f>
        <v>674.92</v>
      </c>
      <c r="AC20" s="31">
        <f>ROUND(S19*AC$5/1200,2)</f>
        <v>1952.14</v>
      </c>
      <c r="AD20" s="31">
        <f>ROUND(T19*AD$5/1200,2)</f>
        <v>0.0</v>
      </c>
      <c r="AE20" s="31">
        <f>ROUND(U19*AE$5/1200,2)</f>
        <v>0.0</v>
      </c>
      <c r="AF20" s="31">
        <f>ROUND(V19*AF$5/1200,2)</f>
        <v>0.0</v>
      </c>
      <c r="AG20" s="31">
        <f>ROUND(W19*AG$5/1200,2)</f>
        <v>0.0</v>
      </c>
      <c r="AH20" s="31">
        <f>ROUND(X19*AH$5/1200,2)</f>
        <v>0.0</v>
      </c>
      <c r="AI20" s="31">
        <f>ROUND(Y19*AI$5/1200,2)</f>
        <v>0.0</v>
      </c>
      <c r="AJ20" s="31">
        <f>ROUND(Z19*AJ$5/1200,2)</f>
        <v>0.0</v>
      </c>
      <c r="AK20" s="31">
        <f>ROUND(AA19*AK$5/1200,2)</f>
        <v>0.0</v>
      </c>
      <c r="AL20" s="31">
        <f>MIN(AL$5,R19+AB20)</f>
        <v>12500.0</v>
      </c>
      <c r="AM20" s="31">
        <f>MIN(AM$5,S19+AC20)</f>
        <v>6500.0</v>
      </c>
      <c r="AN20" s="31">
        <f>MIN(AN$5,T19+AD20)</f>
        <v>0.0</v>
      </c>
      <c r="AO20" s="31">
        <f>MIN(AO$5,U19+AE20)</f>
        <v>0.0</v>
      </c>
      <c r="AP20" s="31">
        <f>MIN(AP$5,V19+AF20)</f>
        <v>0.0</v>
      </c>
      <c r="AQ20" s="31">
        <f>MIN(AQ$5,W19+AG20)</f>
        <v>0.0</v>
      </c>
      <c r="AR20" s="31">
        <f>MIN(AR$5,X19+AH20)</f>
        <v>0.0</v>
      </c>
      <c r="AS20" s="31">
        <f>MIN(AS$5,Y19+AI20)</f>
        <v>0.0</v>
      </c>
      <c r="AT20" s="31">
        <f>MIN(AT$5,Z19+AJ20)</f>
        <v>0.0</v>
      </c>
      <c r="AU20" s="31">
        <f>MIN(AU$5,AA19+AK20)</f>
        <v>0.0</v>
      </c>
    </row>
    <row r="21">
      <c r="A21" s="25">
        <f>IF(F20&gt;0.005,16,"")</f>
        <v>16</v>
      </c>
      <c r="B21" s="33">
        <f>IF(A21="","",EDATE(Долги!$D$5,15))</f>
        <v>46753</v>
      </c>
      <c r="C21" s="31">
        <f>SUM(H21:Q21)</f>
        <v>31000.0</v>
      </c>
      <c r="D21" s="31">
        <f>SUM(AB21:AK21)</f>
        <v>1824.29</v>
      </c>
      <c r="E21" s="31">
        <f>C21-D21</f>
        <v>29175.71</v>
      </c>
      <c r="F21" s="31">
        <f>SUM(R21:AA21)</f>
        <v>86042.75</v>
      </c>
      <c r="G21" s="34" t="str">
        <f>IF(OR(A21="",$F$5&lt;=0),"",REPT("█",ROUND(20*F21/$F$5,0)))</f>
        <v>████</v>
      </c>
      <c r="H21" s="31">
        <f>AL21+MIN(R20+AB21-AL21,MAX(0,ROUND(Долги!$D$19-SUM($AL21:$AU21),2)))</f>
        <v>0.0</v>
      </c>
      <c r="I21" s="31">
        <f>AM21+MIN(S20+AC21-AM21,MAX(0,ROUND(ROUND(Долги!$D$19-SUM($AL21:$AU21),2)-(SUM($H21:H21)-SUM($AL21:AL21)),2)))</f>
        <v>31000.0</v>
      </c>
      <c r="J21" s="31">
        <f>AN21+MIN(T20+AD21-AN21,MAX(0,ROUND(ROUND(Долги!$D$19-SUM($AL21:$AU21),2)-(SUM($H21:I21)-SUM($AL21:AM21)),2)))</f>
        <v>0.0</v>
      </c>
      <c r="K21" s="31">
        <f>AO21+MIN(U20+AE21-AO21,MAX(0,ROUND(ROUND(Долги!$D$19-SUM($AL21:$AU21),2)-(SUM($H21:J21)-SUM($AL21:AN21)),2)))</f>
        <v>0.0</v>
      </c>
      <c r="L21" s="31">
        <f>AP21+MIN(V20+AF21-AP21,MAX(0,ROUND(ROUND(Долги!$D$19-SUM($AL21:$AU21),2)-(SUM($H21:K21)-SUM($AL21:AO21)),2)))</f>
        <v>0.0</v>
      </c>
      <c r="M21" s="31">
        <f>AQ21+MIN(W20+AG21-AQ21,MAX(0,ROUND(ROUND(Долги!$D$19-SUM($AL21:$AU21),2)-(SUM($H21:L21)-SUM($AL21:AP21)),2)))</f>
        <v>0.0</v>
      </c>
      <c r="N21" s="31">
        <f>AR21+MIN(X20+AH21-AR21,MAX(0,ROUND(ROUND(Долги!$D$19-SUM($AL21:$AU21),2)-(SUM($H21:M21)-SUM($AL21:AQ21)),2)))</f>
        <v>0.0</v>
      </c>
      <c r="O21" s="31">
        <f>AS21+MIN(Y20+AI21-AS21,MAX(0,ROUND(ROUND(Долги!$D$19-SUM($AL21:$AU21),2)-(SUM($H21:N21)-SUM($AL21:AR21)),2)))</f>
        <v>0.0</v>
      </c>
      <c r="P21" s="31">
        <f>AT21+MIN(Z20+AJ21-AT21,MAX(0,ROUND(ROUND(Долги!$D$19-SUM($AL21:$AU21),2)-(SUM($H21:O21)-SUM($AL21:AS21)),2)))</f>
        <v>0.0</v>
      </c>
      <c r="Q21" s="31">
        <f>AU21+MIN(AA20+AK21-AU21,MAX(0,ROUND(ROUND(Долги!$D$19-SUM($AL21:$AU21),2)-(SUM($H21:P21)-SUM($AL21:AT21)),2)))</f>
        <v>0.0</v>
      </c>
      <c r="R21" s="31">
        <f>IF(R20+AB21-H21&lt;=0.01,0,ROUND(R20+AB21-H21,2))</f>
        <v>0.0</v>
      </c>
      <c r="S21" s="31">
        <f>IF(S20+AC21-I21&lt;=0.01,0,ROUND(S20+AC21-I21,2))</f>
        <v>86042.75</v>
      </c>
      <c r="T21" s="31">
        <f>IF(T20+AD21-J21&lt;=0.01,0,ROUND(T20+AD21-J21,2))</f>
        <v>0.0</v>
      </c>
      <c r="U21" s="31">
        <f>IF(U20+AE21-K21&lt;=0.01,0,ROUND(U20+AE21-K21,2))</f>
        <v>0.0</v>
      </c>
      <c r="V21" s="31">
        <f>IF(V20+AF21-L21&lt;=0.01,0,ROUND(V20+AF21-L21,2))</f>
        <v>0.0</v>
      </c>
      <c r="W21" s="31">
        <f>IF(W20+AG21-M21&lt;=0.01,0,ROUND(W20+AG21-M21,2))</f>
        <v>0.0</v>
      </c>
      <c r="X21" s="31">
        <f>IF(X20+AH21-N21&lt;=0.01,0,ROUND(X20+AH21-N21,2))</f>
        <v>0.0</v>
      </c>
      <c r="Y21" s="31">
        <f>IF(Y20+AI21-O21&lt;=0.01,0,ROUND(Y20+AI21-O21,2))</f>
        <v>0.0</v>
      </c>
      <c r="Z21" s="31">
        <f>IF(Z20+AJ21-P21&lt;=0.01,0,ROUND(Z20+AJ21-P21,2))</f>
        <v>0.0</v>
      </c>
      <c r="AA21" s="31">
        <f>IF(AA20+AK21-Q21&lt;=0.01,0,ROUND(AA20+AK21-Q21,2))</f>
        <v>0.0</v>
      </c>
      <c r="AB21" s="31">
        <f>ROUND(R20*AB$5/1200,2)</f>
        <v>0.0</v>
      </c>
      <c r="AC21" s="31">
        <f>ROUND(S20*AC$5/1200,2)</f>
        <v>1824.29</v>
      </c>
      <c r="AD21" s="31">
        <f>ROUND(T20*AD$5/1200,2)</f>
        <v>0.0</v>
      </c>
      <c r="AE21" s="31">
        <f>ROUND(U20*AE$5/1200,2)</f>
        <v>0.0</v>
      </c>
      <c r="AF21" s="31">
        <f>ROUND(V20*AF$5/1200,2)</f>
        <v>0.0</v>
      </c>
      <c r="AG21" s="31">
        <f>ROUND(W20*AG$5/1200,2)</f>
        <v>0.0</v>
      </c>
      <c r="AH21" s="31">
        <f>ROUND(X20*AH$5/1200,2)</f>
        <v>0.0</v>
      </c>
      <c r="AI21" s="31">
        <f>ROUND(Y20*AI$5/1200,2)</f>
        <v>0.0</v>
      </c>
      <c r="AJ21" s="31">
        <f>ROUND(Z20*AJ$5/1200,2)</f>
        <v>0.0</v>
      </c>
      <c r="AK21" s="31">
        <f>ROUND(AA20*AK$5/1200,2)</f>
        <v>0.0</v>
      </c>
      <c r="AL21" s="31">
        <f>MIN(AL$5,R20+AB21)</f>
        <v>0.0</v>
      </c>
      <c r="AM21" s="31">
        <f>MIN(AM$5,S20+AC21)</f>
        <v>6500.0</v>
      </c>
      <c r="AN21" s="31">
        <f>MIN(AN$5,T20+AD21)</f>
        <v>0.0</v>
      </c>
      <c r="AO21" s="31">
        <f>MIN(AO$5,U20+AE21)</f>
        <v>0.0</v>
      </c>
      <c r="AP21" s="31">
        <f>MIN(AP$5,V20+AF21)</f>
        <v>0.0</v>
      </c>
      <c r="AQ21" s="31">
        <f>MIN(AQ$5,W20+AG21)</f>
        <v>0.0</v>
      </c>
      <c r="AR21" s="31">
        <f>MIN(AR$5,X20+AH21)</f>
        <v>0.0</v>
      </c>
      <c r="AS21" s="31">
        <f>MIN(AS$5,Y20+AI21)</f>
        <v>0.0</v>
      </c>
      <c r="AT21" s="31">
        <f>MIN(AT$5,Z20+AJ21)</f>
        <v>0.0</v>
      </c>
      <c r="AU21" s="31">
        <f>MIN(AU$5,AA20+AK21)</f>
        <v>0.0</v>
      </c>
    </row>
    <row r="22">
      <c r="A22" s="25">
        <f>IF(F21&gt;0.005,17,"")</f>
        <v>17</v>
      </c>
      <c r="B22" s="33">
        <f>IF(A22="","",EDATE(Долги!$D$5,16))</f>
        <v>46784</v>
      </c>
      <c r="C22" s="31">
        <f>SUM(H22:Q22)</f>
        <v>31000.0</v>
      </c>
      <c r="D22" s="31">
        <f>SUM(AB22:AK22)</f>
        <v>1362.34</v>
      </c>
      <c r="E22" s="31">
        <f>C22-D22</f>
        <v>29637.66</v>
      </c>
      <c r="F22" s="31">
        <f>SUM(R22:AA22)</f>
        <v>56405.09</v>
      </c>
      <c r="G22" s="34" t="str">
        <f>IF(OR(A22="",$F$5&lt;=0),"",REPT("█",ROUND(20*F22/$F$5,0)))</f>
        <v>██</v>
      </c>
      <c r="H22" s="31">
        <f>AL22+MIN(R21+AB22-AL22,MAX(0,ROUND(Долги!$D$19-SUM($AL22:$AU22),2)))</f>
        <v>0.0</v>
      </c>
      <c r="I22" s="31">
        <f>AM22+MIN(S21+AC22-AM22,MAX(0,ROUND(ROUND(Долги!$D$19-SUM($AL22:$AU22),2)-(SUM($H22:H22)-SUM($AL22:AL22)),2)))</f>
        <v>31000.0</v>
      </c>
      <c r="J22" s="31">
        <f>AN22+MIN(T21+AD22-AN22,MAX(0,ROUND(ROUND(Долги!$D$19-SUM($AL22:$AU22),2)-(SUM($H22:I22)-SUM($AL22:AM22)),2)))</f>
        <v>0.0</v>
      </c>
      <c r="K22" s="31">
        <f>AO22+MIN(U21+AE22-AO22,MAX(0,ROUND(ROUND(Долги!$D$19-SUM($AL22:$AU22),2)-(SUM($H22:J22)-SUM($AL22:AN22)),2)))</f>
        <v>0.0</v>
      </c>
      <c r="L22" s="31">
        <f>AP22+MIN(V21+AF22-AP22,MAX(0,ROUND(ROUND(Долги!$D$19-SUM($AL22:$AU22),2)-(SUM($H22:K22)-SUM($AL22:AO22)),2)))</f>
        <v>0.0</v>
      </c>
      <c r="M22" s="31">
        <f>AQ22+MIN(W21+AG22-AQ22,MAX(0,ROUND(ROUND(Долги!$D$19-SUM($AL22:$AU22),2)-(SUM($H22:L22)-SUM($AL22:AP22)),2)))</f>
        <v>0.0</v>
      </c>
      <c r="N22" s="31">
        <f>AR22+MIN(X21+AH22-AR22,MAX(0,ROUND(ROUND(Долги!$D$19-SUM($AL22:$AU22),2)-(SUM($H22:M22)-SUM($AL22:AQ22)),2)))</f>
        <v>0.0</v>
      </c>
      <c r="O22" s="31">
        <f>AS22+MIN(Y21+AI22-AS22,MAX(0,ROUND(ROUND(Долги!$D$19-SUM($AL22:$AU22),2)-(SUM($H22:N22)-SUM($AL22:AR22)),2)))</f>
        <v>0.0</v>
      </c>
      <c r="P22" s="31">
        <f>AT22+MIN(Z21+AJ22-AT22,MAX(0,ROUND(ROUND(Долги!$D$19-SUM($AL22:$AU22),2)-(SUM($H22:O22)-SUM($AL22:AS22)),2)))</f>
        <v>0.0</v>
      </c>
      <c r="Q22" s="31">
        <f>AU22+MIN(AA21+AK22-AU22,MAX(0,ROUND(ROUND(Долги!$D$19-SUM($AL22:$AU22),2)-(SUM($H22:P22)-SUM($AL22:AT22)),2)))</f>
        <v>0.0</v>
      </c>
      <c r="R22" s="31">
        <f>IF(R21+AB22-H22&lt;=0.01,0,ROUND(R21+AB22-H22,2))</f>
        <v>0.0</v>
      </c>
      <c r="S22" s="31">
        <f>IF(S21+AC22-I22&lt;=0.01,0,ROUND(S21+AC22-I22,2))</f>
        <v>56405.09</v>
      </c>
      <c r="T22" s="31">
        <f>IF(T21+AD22-J22&lt;=0.01,0,ROUND(T21+AD22-J22,2))</f>
        <v>0.0</v>
      </c>
      <c r="U22" s="31">
        <f>IF(U21+AE22-K22&lt;=0.01,0,ROUND(U21+AE22-K22,2))</f>
        <v>0.0</v>
      </c>
      <c r="V22" s="31">
        <f>IF(V21+AF22-L22&lt;=0.01,0,ROUND(V21+AF22-L22,2))</f>
        <v>0.0</v>
      </c>
      <c r="W22" s="31">
        <f>IF(W21+AG22-M22&lt;=0.01,0,ROUND(W21+AG22-M22,2))</f>
        <v>0.0</v>
      </c>
      <c r="X22" s="31">
        <f>IF(X21+AH22-N22&lt;=0.01,0,ROUND(X21+AH22-N22,2))</f>
        <v>0.0</v>
      </c>
      <c r="Y22" s="31">
        <f>IF(Y21+AI22-O22&lt;=0.01,0,ROUND(Y21+AI22-O22,2))</f>
        <v>0.0</v>
      </c>
      <c r="Z22" s="31">
        <f>IF(Z21+AJ22-P22&lt;=0.01,0,ROUND(Z21+AJ22-P22,2))</f>
        <v>0.0</v>
      </c>
      <c r="AA22" s="31">
        <f>IF(AA21+AK22-Q22&lt;=0.01,0,ROUND(AA21+AK22-Q22,2))</f>
        <v>0.0</v>
      </c>
      <c r="AB22" s="31">
        <f>ROUND(R21*AB$5/1200,2)</f>
        <v>0.0</v>
      </c>
      <c r="AC22" s="31">
        <f>ROUND(S21*AC$5/1200,2)</f>
        <v>1362.34</v>
      </c>
      <c r="AD22" s="31">
        <f>ROUND(T21*AD$5/1200,2)</f>
        <v>0.0</v>
      </c>
      <c r="AE22" s="31">
        <f>ROUND(U21*AE$5/1200,2)</f>
        <v>0.0</v>
      </c>
      <c r="AF22" s="31">
        <f>ROUND(V21*AF$5/1200,2)</f>
        <v>0.0</v>
      </c>
      <c r="AG22" s="31">
        <f>ROUND(W21*AG$5/1200,2)</f>
        <v>0.0</v>
      </c>
      <c r="AH22" s="31">
        <f>ROUND(X21*AH$5/1200,2)</f>
        <v>0.0</v>
      </c>
      <c r="AI22" s="31">
        <f>ROUND(Y21*AI$5/1200,2)</f>
        <v>0.0</v>
      </c>
      <c r="AJ22" s="31">
        <f>ROUND(Z21*AJ$5/1200,2)</f>
        <v>0.0</v>
      </c>
      <c r="AK22" s="31">
        <f>ROUND(AA21*AK$5/1200,2)</f>
        <v>0.0</v>
      </c>
      <c r="AL22" s="31">
        <f>MIN(AL$5,R21+AB22)</f>
        <v>0.0</v>
      </c>
      <c r="AM22" s="31">
        <f>MIN(AM$5,S21+AC22)</f>
        <v>6500.0</v>
      </c>
      <c r="AN22" s="31">
        <f>MIN(AN$5,T21+AD22)</f>
        <v>0.0</v>
      </c>
      <c r="AO22" s="31">
        <f>MIN(AO$5,U21+AE22)</f>
        <v>0.0</v>
      </c>
      <c r="AP22" s="31">
        <f>MIN(AP$5,V21+AF22)</f>
        <v>0.0</v>
      </c>
      <c r="AQ22" s="31">
        <f>MIN(AQ$5,W21+AG22)</f>
        <v>0.0</v>
      </c>
      <c r="AR22" s="31">
        <f>MIN(AR$5,X21+AH22)</f>
        <v>0.0</v>
      </c>
      <c r="AS22" s="31">
        <f>MIN(AS$5,Y21+AI22)</f>
        <v>0.0</v>
      </c>
      <c r="AT22" s="31">
        <f>MIN(AT$5,Z21+AJ22)</f>
        <v>0.0</v>
      </c>
      <c r="AU22" s="31">
        <f>MIN(AU$5,AA21+AK22)</f>
        <v>0.0</v>
      </c>
    </row>
    <row r="23">
      <c r="A23" s="25">
        <f>IF(F22&gt;0.005,18,"")</f>
        <v>18</v>
      </c>
      <c r="B23" s="33">
        <f>IF(A23="","",EDATE(Долги!$D$5,17))</f>
        <v>46813</v>
      </c>
      <c r="C23" s="31">
        <f>SUM(H23:Q23)</f>
        <v>31000.0</v>
      </c>
      <c r="D23" s="31">
        <f>SUM(AB23:AK23)</f>
        <v>893.08</v>
      </c>
      <c r="E23" s="31">
        <f>C23-D23</f>
        <v>30106.92</v>
      </c>
      <c r="F23" s="31">
        <f>SUM(R23:AA23)</f>
        <v>26298.17</v>
      </c>
      <c r="G23" s="34" t="str">
        <f>IF(OR(A23="",$F$5&lt;=0),"",REPT("█",ROUND(20*F23/$F$5,0)))</f>
        <v>█</v>
      </c>
      <c r="H23" s="31">
        <f>AL23+MIN(R22+AB23-AL23,MAX(0,ROUND(Долги!$D$19-SUM($AL23:$AU23),2)))</f>
        <v>0.0</v>
      </c>
      <c r="I23" s="31">
        <f>AM23+MIN(S22+AC23-AM23,MAX(0,ROUND(ROUND(Долги!$D$19-SUM($AL23:$AU23),2)-(SUM($H23:H23)-SUM($AL23:AL23)),2)))</f>
        <v>31000.0</v>
      </c>
      <c r="J23" s="31">
        <f>AN23+MIN(T22+AD23-AN23,MAX(0,ROUND(ROUND(Долги!$D$19-SUM($AL23:$AU23),2)-(SUM($H23:I23)-SUM($AL23:AM23)),2)))</f>
        <v>0.0</v>
      </c>
      <c r="K23" s="31">
        <f>AO23+MIN(U22+AE23-AO23,MAX(0,ROUND(ROUND(Долги!$D$19-SUM($AL23:$AU23),2)-(SUM($H23:J23)-SUM($AL23:AN23)),2)))</f>
        <v>0.0</v>
      </c>
      <c r="L23" s="31">
        <f>AP23+MIN(V22+AF23-AP23,MAX(0,ROUND(ROUND(Долги!$D$19-SUM($AL23:$AU23),2)-(SUM($H23:K23)-SUM($AL23:AO23)),2)))</f>
        <v>0.0</v>
      </c>
      <c r="M23" s="31">
        <f>AQ23+MIN(W22+AG23-AQ23,MAX(0,ROUND(ROUND(Долги!$D$19-SUM($AL23:$AU23),2)-(SUM($H23:L23)-SUM($AL23:AP23)),2)))</f>
        <v>0.0</v>
      </c>
      <c r="N23" s="31">
        <f>AR23+MIN(X22+AH23-AR23,MAX(0,ROUND(ROUND(Долги!$D$19-SUM($AL23:$AU23),2)-(SUM($H23:M23)-SUM($AL23:AQ23)),2)))</f>
        <v>0.0</v>
      </c>
      <c r="O23" s="31">
        <f>AS23+MIN(Y22+AI23-AS23,MAX(0,ROUND(ROUND(Долги!$D$19-SUM($AL23:$AU23),2)-(SUM($H23:N23)-SUM($AL23:AR23)),2)))</f>
        <v>0.0</v>
      </c>
      <c r="P23" s="31">
        <f>AT23+MIN(Z22+AJ23-AT23,MAX(0,ROUND(ROUND(Долги!$D$19-SUM($AL23:$AU23),2)-(SUM($H23:O23)-SUM($AL23:AS23)),2)))</f>
        <v>0.0</v>
      </c>
      <c r="Q23" s="31">
        <f>AU23+MIN(AA22+AK23-AU23,MAX(0,ROUND(ROUND(Долги!$D$19-SUM($AL23:$AU23),2)-(SUM($H23:P23)-SUM($AL23:AT23)),2)))</f>
        <v>0.0</v>
      </c>
      <c r="R23" s="31">
        <f>IF(R22+AB23-H23&lt;=0.01,0,ROUND(R22+AB23-H23,2))</f>
        <v>0.0</v>
      </c>
      <c r="S23" s="31">
        <f>IF(S22+AC23-I23&lt;=0.01,0,ROUND(S22+AC23-I23,2))</f>
        <v>26298.17</v>
      </c>
      <c r="T23" s="31">
        <f>IF(T22+AD23-J23&lt;=0.01,0,ROUND(T22+AD23-J23,2))</f>
        <v>0.0</v>
      </c>
      <c r="U23" s="31">
        <f>IF(U22+AE23-K23&lt;=0.01,0,ROUND(U22+AE23-K23,2))</f>
        <v>0.0</v>
      </c>
      <c r="V23" s="31">
        <f>IF(V22+AF23-L23&lt;=0.01,0,ROUND(V22+AF23-L23,2))</f>
        <v>0.0</v>
      </c>
      <c r="W23" s="31">
        <f>IF(W22+AG23-M23&lt;=0.01,0,ROUND(W22+AG23-M23,2))</f>
        <v>0.0</v>
      </c>
      <c r="X23" s="31">
        <f>IF(X22+AH23-N23&lt;=0.01,0,ROUND(X22+AH23-N23,2))</f>
        <v>0.0</v>
      </c>
      <c r="Y23" s="31">
        <f>IF(Y22+AI23-O23&lt;=0.01,0,ROUND(Y22+AI23-O23,2))</f>
        <v>0.0</v>
      </c>
      <c r="Z23" s="31">
        <f>IF(Z22+AJ23-P23&lt;=0.01,0,ROUND(Z22+AJ23-P23,2))</f>
        <v>0.0</v>
      </c>
      <c r="AA23" s="31">
        <f>IF(AA22+AK23-Q23&lt;=0.01,0,ROUND(AA22+AK23-Q23,2))</f>
        <v>0.0</v>
      </c>
      <c r="AB23" s="31">
        <f>ROUND(R22*AB$5/1200,2)</f>
        <v>0.0</v>
      </c>
      <c r="AC23" s="31">
        <f>ROUND(S22*AC$5/1200,2)</f>
        <v>893.08</v>
      </c>
      <c r="AD23" s="31">
        <f>ROUND(T22*AD$5/1200,2)</f>
        <v>0.0</v>
      </c>
      <c r="AE23" s="31">
        <f>ROUND(U22*AE$5/1200,2)</f>
        <v>0.0</v>
      </c>
      <c r="AF23" s="31">
        <f>ROUND(V22*AF$5/1200,2)</f>
        <v>0.0</v>
      </c>
      <c r="AG23" s="31">
        <f>ROUND(W22*AG$5/1200,2)</f>
        <v>0.0</v>
      </c>
      <c r="AH23" s="31">
        <f>ROUND(X22*AH$5/1200,2)</f>
        <v>0.0</v>
      </c>
      <c r="AI23" s="31">
        <f>ROUND(Y22*AI$5/1200,2)</f>
        <v>0.0</v>
      </c>
      <c r="AJ23" s="31">
        <f>ROUND(Z22*AJ$5/1200,2)</f>
        <v>0.0</v>
      </c>
      <c r="AK23" s="31">
        <f>ROUND(AA22*AK$5/1200,2)</f>
        <v>0.0</v>
      </c>
      <c r="AL23" s="31">
        <f>MIN(AL$5,R22+AB23)</f>
        <v>0.0</v>
      </c>
      <c r="AM23" s="31">
        <f>MIN(AM$5,S22+AC23)</f>
        <v>6500.0</v>
      </c>
      <c r="AN23" s="31">
        <f>MIN(AN$5,T22+AD23)</f>
        <v>0.0</v>
      </c>
      <c r="AO23" s="31">
        <f>MIN(AO$5,U22+AE23)</f>
        <v>0.0</v>
      </c>
      <c r="AP23" s="31">
        <f>MIN(AP$5,V22+AF23)</f>
        <v>0.0</v>
      </c>
      <c r="AQ23" s="31">
        <f>MIN(AQ$5,W22+AG23)</f>
        <v>0.0</v>
      </c>
      <c r="AR23" s="31">
        <f>MIN(AR$5,X22+AH23)</f>
        <v>0.0</v>
      </c>
      <c r="AS23" s="31">
        <f>MIN(AS$5,Y22+AI23)</f>
        <v>0.0</v>
      </c>
      <c r="AT23" s="31">
        <f>MIN(AT$5,Z22+AJ23)</f>
        <v>0.0</v>
      </c>
      <c r="AU23" s="31">
        <f>MIN(AU$5,AA22+AK23)</f>
        <v>0.0</v>
      </c>
    </row>
    <row r="24">
      <c r="A24" s="25">
        <f>IF(F23&gt;0.005,19,"")</f>
        <v>19</v>
      </c>
      <c r="B24" s="33">
        <f>IF(A24="","",EDATE(Долги!$D$5,18))</f>
        <v>46844</v>
      </c>
      <c r="C24" s="31">
        <f>SUM(H24:Q24)</f>
        <v>26714.56</v>
      </c>
      <c r="D24" s="31">
        <f>SUM(AB24:AK24)</f>
        <v>416.39</v>
      </c>
      <c r="E24" s="31">
        <f>C24-D24</f>
        <v>26298.17</v>
      </c>
      <c r="F24" s="31">
        <f>SUM(R24:AA24)</f>
        <v>0.0</v>
      </c>
      <c r="G24" s="34" t="str">
        <f>IF(OR(A24="",$F$5&lt;=0),"",REPT("█",ROUND(20*F24/$F$5,0)))</f>
        <v/>
      </c>
      <c r="H24" s="31">
        <f>AL24+MIN(R23+AB24-AL24,MAX(0,ROUND(Долги!$D$19-SUM($AL24:$AU24),2)))</f>
        <v>0.0</v>
      </c>
      <c r="I24" s="31">
        <f>AM24+MIN(S23+AC24-AM24,MAX(0,ROUND(ROUND(Долги!$D$19-SUM($AL24:$AU24),2)-(SUM($H24:H24)-SUM($AL24:AL24)),2)))</f>
        <v>26714.56</v>
      </c>
      <c r="J24" s="31">
        <f>AN24+MIN(T23+AD24-AN24,MAX(0,ROUND(ROUND(Долги!$D$19-SUM($AL24:$AU24),2)-(SUM($H24:I24)-SUM($AL24:AM24)),2)))</f>
        <v>0.0</v>
      </c>
      <c r="K24" s="31">
        <f>AO24+MIN(U23+AE24-AO24,MAX(0,ROUND(ROUND(Долги!$D$19-SUM($AL24:$AU24),2)-(SUM($H24:J24)-SUM($AL24:AN24)),2)))</f>
        <v>0.0</v>
      </c>
      <c r="L24" s="31">
        <f>AP24+MIN(V23+AF24-AP24,MAX(0,ROUND(ROUND(Долги!$D$19-SUM($AL24:$AU24),2)-(SUM($H24:K24)-SUM($AL24:AO24)),2)))</f>
        <v>0.0</v>
      </c>
      <c r="M24" s="31">
        <f>AQ24+MIN(W23+AG24-AQ24,MAX(0,ROUND(ROUND(Долги!$D$19-SUM($AL24:$AU24),2)-(SUM($H24:L24)-SUM($AL24:AP24)),2)))</f>
        <v>0.0</v>
      </c>
      <c r="N24" s="31">
        <f>AR24+MIN(X23+AH24-AR24,MAX(0,ROUND(ROUND(Долги!$D$19-SUM($AL24:$AU24),2)-(SUM($H24:M24)-SUM($AL24:AQ24)),2)))</f>
        <v>0.0</v>
      </c>
      <c r="O24" s="31">
        <f>AS24+MIN(Y23+AI24-AS24,MAX(0,ROUND(ROUND(Долги!$D$19-SUM($AL24:$AU24),2)-(SUM($H24:N24)-SUM($AL24:AR24)),2)))</f>
        <v>0.0</v>
      </c>
      <c r="P24" s="31">
        <f>AT24+MIN(Z23+AJ24-AT24,MAX(0,ROUND(ROUND(Долги!$D$19-SUM($AL24:$AU24),2)-(SUM($H24:O24)-SUM($AL24:AS24)),2)))</f>
        <v>0.0</v>
      </c>
      <c r="Q24" s="31">
        <f>AU24+MIN(AA23+AK24-AU24,MAX(0,ROUND(ROUND(Долги!$D$19-SUM($AL24:$AU24),2)-(SUM($H24:P24)-SUM($AL24:AT24)),2)))</f>
        <v>0.0</v>
      </c>
      <c r="R24" s="31">
        <f>IF(R23+AB24-H24&lt;=0.01,0,ROUND(R23+AB24-H24,2))</f>
        <v>0.0</v>
      </c>
      <c r="S24" s="31">
        <f>IF(S23+AC24-I24&lt;=0.01,0,ROUND(S23+AC24-I24,2))</f>
        <v>0.0</v>
      </c>
      <c r="T24" s="31">
        <f>IF(T23+AD24-J24&lt;=0.01,0,ROUND(T23+AD24-J24,2))</f>
        <v>0.0</v>
      </c>
      <c r="U24" s="31">
        <f>IF(U23+AE24-K24&lt;=0.01,0,ROUND(U23+AE24-K24,2))</f>
        <v>0.0</v>
      </c>
      <c r="V24" s="31">
        <f>IF(V23+AF24-L24&lt;=0.01,0,ROUND(V23+AF24-L24,2))</f>
        <v>0.0</v>
      </c>
      <c r="W24" s="31">
        <f>IF(W23+AG24-M24&lt;=0.01,0,ROUND(W23+AG24-M24,2))</f>
        <v>0.0</v>
      </c>
      <c r="X24" s="31">
        <f>IF(X23+AH24-N24&lt;=0.01,0,ROUND(X23+AH24-N24,2))</f>
        <v>0.0</v>
      </c>
      <c r="Y24" s="31">
        <f>IF(Y23+AI24-O24&lt;=0.01,0,ROUND(Y23+AI24-O24,2))</f>
        <v>0.0</v>
      </c>
      <c r="Z24" s="31">
        <f>IF(Z23+AJ24-P24&lt;=0.01,0,ROUND(Z23+AJ24-P24,2))</f>
        <v>0.0</v>
      </c>
      <c r="AA24" s="31">
        <f>IF(AA23+AK24-Q24&lt;=0.01,0,ROUND(AA23+AK24-Q24,2))</f>
        <v>0.0</v>
      </c>
      <c r="AB24" s="31">
        <f>ROUND(R23*AB$5/1200,2)</f>
        <v>0.0</v>
      </c>
      <c r="AC24" s="31">
        <f>ROUND(S23*AC$5/1200,2)</f>
        <v>416.39</v>
      </c>
      <c r="AD24" s="31">
        <f>ROUND(T23*AD$5/1200,2)</f>
        <v>0.0</v>
      </c>
      <c r="AE24" s="31">
        <f>ROUND(U23*AE$5/1200,2)</f>
        <v>0.0</v>
      </c>
      <c r="AF24" s="31">
        <f>ROUND(V23*AF$5/1200,2)</f>
        <v>0.0</v>
      </c>
      <c r="AG24" s="31">
        <f>ROUND(W23*AG$5/1200,2)</f>
        <v>0.0</v>
      </c>
      <c r="AH24" s="31">
        <f>ROUND(X23*AH$5/1200,2)</f>
        <v>0.0</v>
      </c>
      <c r="AI24" s="31">
        <f>ROUND(Y23*AI$5/1200,2)</f>
        <v>0.0</v>
      </c>
      <c r="AJ24" s="31">
        <f>ROUND(Z23*AJ$5/1200,2)</f>
        <v>0.0</v>
      </c>
      <c r="AK24" s="31">
        <f>ROUND(AA23*AK$5/1200,2)</f>
        <v>0.0</v>
      </c>
      <c r="AL24" s="31">
        <f>MIN(AL$5,R23+AB24)</f>
        <v>0.0</v>
      </c>
      <c r="AM24" s="31">
        <f>MIN(AM$5,S23+AC24)</f>
        <v>6500.0</v>
      </c>
      <c r="AN24" s="31">
        <f>MIN(AN$5,T23+AD24)</f>
        <v>0.0</v>
      </c>
      <c r="AO24" s="31">
        <f>MIN(AO$5,U23+AE24)</f>
        <v>0.0</v>
      </c>
      <c r="AP24" s="31">
        <f>MIN(AP$5,V23+AF24)</f>
        <v>0.0</v>
      </c>
      <c r="AQ24" s="31">
        <f>MIN(AQ$5,W23+AG24)</f>
        <v>0.0</v>
      </c>
      <c r="AR24" s="31">
        <f>MIN(AR$5,X23+AH24)</f>
        <v>0.0</v>
      </c>
      <c r="AS24" s="31">
        <f>MIN(AS$5,Y23+AI24)</f>
        <v>0.0</v>
      </c>
      <c r="AT24" s="31">
        <f>MIN(AT$5,Z23+AJ24)</f>
        <v>0.0</v>
      </c>
      <c r="AU24" s="31">
        <f>MIN(AU$5,AA23+AK24)</f>
        <v>0.0</v>
      </c>
    </row>
    <row r="25">
      <c r="A25" s="25" t="str">
        <f>IF(F24&gt;0.005,20,"")</f>
        <v/>
      </c>
      <c r="B25" s="33" t="str">
        <f>IF(A25="","",EDATE(Долги!$D$5,19))</f>
        <v/>
      </c>
      <c r="C25" s="31">
        <f>SUM(H25:Q25)</f>
        <v>0.0</v>
      </c>
      <c r="D25" s="31">
        <f>SUM(AB25:AK25)</f>
        <v>0.0</v>
      </c>
      <c r="E25" s="31">
        <f>C25-D25</f>
        <v>0.0</v>
      </c>
      <c r="F25" s="31">
        <f>SUM(R25:AA25)</f>
        <v>0.0</v>
      </c>
      <c r="G25" s="34" t="str">
        <f>IF(OR(A25="",$F$5&lt;=0),"",REPT("█",ROUND(20*F25/$F$5,0)))</f>
        <v/>
      </c>
      <c r="H25" s="31">
        <f>AL25+MIN(R24+AB25-AL25,MAX(0,ROUND(Долги!$D$19-SUM($AL25:$AU25),2)))</f>
        <v>0.0</v>
      </c>
      <c r="I25" s="31">
        <f>AM25+MIN(S24+AC25-AM25,MAX(0,ROUND(ROUND(Долги!$D$19-SUM($AL25:$AU25),2)-(SUM($H25:H25)-SUM($AL25:AL25)),2)))</f>
        <v>0.0</v>
      </c>
      <c r="J25" s="31">
        <f>AN25+MIN(T24+AD25-AN25,MAX(0,ROUND(ROUND(Долги!$D$19-SUM($AL25:$AU25),2)-(SUM($H25:I25)-SUM($AL25:AM25)),2)))</f>
        <v>0.0</v>
      </c>
      <c r="K25" s="31">
        <f>AO25+MIN(U24+AE25-AO25,MAX(0,ROUND(ROUND(Долги!$D$19-SUM($AL25:$AU25),2)-(SUM($H25:J25)-SUM($AL25:AN25)),2)))</f>
        <v>0.0</v>
      </c>
      <c r="L25" s="31">
        <f>AP25+MIN(V24+AF25-AP25,MAX(0,ROUND(ROUND(Долги!$D$19-SUM($AL25:$AU25),2)-(SUM($H25:K25)-SUM($AL25:AO25)),2)))</f>
        <v>0.0</v>
      </c>
      <c r="M25" s="31">
        <f>AQ25+MIN(W24+AG25-AQ25,MAX(0,ROUND(ROUND(Долги!$D$19-SUM($AL25:$AU25),2)-(SUM($H25:L25)-SUM($AL25:AP25)),2)))</f>
        <v>0.0</v>
      </c>
      <c r="N25" s="31">
        <f>AR25+MIN(X24+AH25-AR25,MAX(0,ROUND(ROUND(Долги!$D$19-SUM($AL25:$AU25),2)-(SUM($H25:M25)-SUM($AL25:AQ25)),2)))</f>
        <v>0.0</v>
      </c>
      <c r="O25" s="31">
        <f>AS25+MIN(Y24+AI25-AS25,MAX(0,ROUND(ROUND(Долги!$D$19-SUM($AL25:$AU25),2)-(SUM($H25:N25)-SUM($AL25:AR25)),2)))</f>
        <v>0.0</v>
      </c>
      <c r="P25" s="31">
        <f>AT25+MIN(Z24+AJ25-AT25,MAX(0,ROUND(ROUND(Долги!$D$19-SUM($AL25:$AU25),2)-(SUM($H25:O25)-SUM($AL25:AS25)),2)))</f>
        <v>0.0</v>
      </c>
      <c r="Q25" s="31">
        <f>AU25+MIN(AA24+AK25-AU25,MAX(0,ROUND(ROUND(Долги!$D$19-SUM($AL25:$AU25),2)-(SUM($H25:P25)-SUM($AL25:AT25)),2)))</f>
        <v>0.0</v>
      </c>
      <c r="R25" s="31">
        <f>IF(R24+AB25-H25&lt;=0.01,0,ROUND(R24+AB25-H25,2))</f>
        <v>0.0</v>
      </c>
      <c r="S25" s="31">
        <f>IF(S24+AC25-I25&lt;=0.01,0,ROUND(S24+AC25-I25,2))</f>
        <v>0.0</v>
      </c>
      <c r="T25" s="31">
        <f>IF(T24+AD25-J25&lt;=0.01,0,ROUND(T24+AD25-J25,2))</f>
        <v>0.0</v>
      </c>
      <c r="U25" s="31">
        <f>IF(U24+AE25-K25&lt;=0.01,0,ROUND(U24+AE25-K25,2))</f>
        <v>0.0</v>
      </c>
      <c r="V25" s="31">
        <f>IF(V24+AF25-L25&lt;=0.01,0,ROUND(V24+AF25-L25,2))</f>
        <v>0.0</v>
      </c>
      <c r="W25" s="31">
        <f>IF(W24+AG25-M25&lt;=0.01,0,ROUND(W24+AG25-M25,2))</f>
        <v>0.0</v>
      </c>
      <c r="X25" s="31">
        <f>IF(X24+AH25-N25&lt;=0.01,0,ROUND(X24+AH25-N25,2))</f>
        <v>0.0</v>
      </c>
      <c r="Y25" s="31">
        <f>IF(Y24+AI25-O25&lt;=0.01,0,ROUND(Y24+AI25-O25,2))</f>
        <v>0.0</v>
      </c>
      <c r="Z25" s="31">
        <f>IF(Z24+AJ25-P25&lt;=0.01,0,ROUND(Z24+AJ25-P25,2))</f>
        <v>0.0</v>
      </c>
      <c r="AA25" s="31">
        <f>IF(AA24+AK25-Q25&lt;=0.01,0,ROUND(AA24+AK25-Q25,2))</f>
        <v>0.0</v>
      </c>
      <c r="AB25" s="31">
        <f>ROUND(R24*AB$5/1200,2)</f>
        <v>0.0</v>
      </c>
      <c r="AC25" s="31">
        <f>ROUND(S24*AC$5/1200,2)</f>
        <v>0.0</v>
      </c>
      <c r="AD25" s="31">
        <f>ROUND(T24*AD$5/1200,2)</f>
        <v>0.0</v>
      </c>
      <c r="AE25" s="31">
        <f>ROUND(U24*AE$5/1200,2)</f>
        <v>0.0</v>
      </c>
      <c r="AF25" s="31">
        <f>ROUND(V24*AF$5/1200,2)</f>
        <v>0.0</v>
      </c>
      <c r="AG25" s="31">
        <f>ROUND(W24*AG$5/1200,2)</f>
        <v>0.0</v>
      </c>
      <c r="AH25" s="31">
        <f>ROUND(X24*AH$5/1200,2)</f>
        <v>0.0</v>
      </c>
      <c r="AI25" s="31">
        <f>ROUND(Y24*AI$5/1200,2)</f>
        <v>0.0</v>
      </c>
      <c r="AJ25" s="31">
        <f>ROUND(Z24*AJ$5/1200,2)</f>
        <v>0.0</v>
      </c>
      <c r="AK25" s="31">
        <f>ROUND(AA24*AK$5/1200,2)</f>
        <v>0.0</v>
      </c>
      <c r="AL25" s="31">
        <f>MIN(AL$5,R24+AB25)</f>
        <v>0.0</v>
      </c>
      <c r="AM25" s="31">
        <f>MIN(AM$5,S24+AC25)</f>
        <v>0.0</v>
      </c>
      <c r="AN25" s="31">
        <f>MIN(AN$5,T24+AD25)</f>
        <v>0.0</v>
      </c>
      <c r="AO25" s="31">
        <f>MIN(AO$5,U24+AE25)</f>
        <v>0.0</v>
      </c>
      <c r="AP25" s="31">
        <f>MIN(AP$5,V24+AF25)</f>
        <v>0.0</v>
      </c>
      <c r="AQ25" s="31">
        <f>MIN(AQ$5,W24+AG25)</f>
        <v>0.0</v>
      </c>
      <c r="AR25" s="31">
        <f>MIN(AR$5,X24+AH25)</f>
        <v>0.0</v>
      </c>
      <c r="AS25" s="31">
        <f>MIN(AS$5,Y24+AI25)</f>
        <v>0.0</v>
      </c>
      <c r="AT25" s="31">
        <f>MIN(AT$5,Z24+AJ25)</f>
        <v>0.0</v>
      </c>
      <c r="AU25" s="31">
        <f>MIN(AU$5,AA24+AK25)</f>
        <v>0.0</v>
      </c>
    </row>
    <row r="26">
      <c r="A26" s="25" t="str">
        <f>IF(F25&gt;0.005,21,"")</f>
        <v/>
      </c>
      <c r="B26" s="33" t="str">
        <f>IF(A26="","",EDATE(Долги!$D$5,20))</f>
        <v/>
      </c>
      <c r="C26" s="31">
        <f>SUM(H26:Q26)</f>
        <v>0.0</v>
      </c>
      <c r="D26" s="31">
        <f>SUM(AB26:AK26)</f>
        <v>0.0</v>
      </c>
      <c r="E26" s="31">
        <f>C26-D26</f>
        <v>0.0</v>
      </c>
      <c r="F26" s="31">
        <f>SUM(R26:AA26)</f>
        <v>0.0</v>
      </c>
      <c r="G26" s="34" t="str">
        <f>IF(OR(A26="",$F$5&lt;=0),"",REPT("█",ROUND(20*F26/$F$5,0)))</f>
        <v/>
      </c>
      <c r="H26" s="31">
        <f>AL26+MIN(R25+AB26-AL26,MAX(0,ROUND(Долги!$D$19-SUM($AL26:$AU26),2)))</f>
        <v>0.0</v>
      </c>
      <c r="I26" s="31">
        <f>AM26+MIN(S25+AC26-AM26,MAX(0,ROUND(ROUND(Долги!$D$19-SUM($AL26:$AU26),2)-(SUM($H26:H26)-SUM($AL26:AL26)),2)))</f>
        <v>0.0</v>
      </c>
      <c r="J26" s="31">
        <f>AN26+MIN(T25+AD26-AN26,MAX(0,ROUND(ROUND(Долги!$D$19-SUM($AL26:$AU26),2)-(SUM($H26:I26)-SUM($AL26:AM26)),2)))</f>
        <v>0.0</v>
      </c>
      <c r="K26" s="31">
        <f>AO26+MIN(U25+AE26-AO26,MAX(0,ROUND(ROUND(Долги!$D$19-SUM($AL26:$AU26),2)-(SUM($H26:J26)-SUM($AL26:AN26)),2)))</f>
        <v>0.0</v>
      </c>
      <c r="L26" s="31">
        <f>AP26+MIN(V25+AF26-AP26,MAX(0,ROUND(ROUND(Долги!$D$19-SUM($AL26:$AU26),2)-(SUM($H26:K26)-SUM($AL26:AO26)),2)))</f>
        <v>0.0</v>
      </c>
      <c r="M26" s="31">
        <f>AQ26+MIN(W25+AG26-AQ26,MAX(0,ROUND(ROUND(Долги!$D$19-SUM($AL26:$AU26),2)-(SUM($H26:L26)-SUM($AL26:AP26)),2)))</f>
        <v>0.0</v>
      </c>
      <c r="N26" s="31">
        <f>AR26+MIN(X25+AH26-AR26,MAX(0,ROUND(ROUND(Долги!$D$19-SUM($AL26:$AU26),2)-(SUM($H26:M26)-SUM($AL26:AQ26)),2)))</f>
        <v>0.0</v>
      </c>
      <c r="O26" s="31">
        <f>AS26+MIN(Y25+AI26-AS26,MAX(0,ROUND(ROUND(Долги!$D$19-SUM($AL26:$AU26),2)-(SUM($H26:N26)-SUM($AL26:AR26)),2)))</f>
        <v>0.0</v>
      </c>
      <c r="P26" s="31">
        <f>AT26+MIN(Z25+AJ26-AT26,MAX(0,ROUND(ROUND(Долги!$D$19-SUM($AL26:$AU26),2)-(SUM($H26:O26)-SUM($AL26:AS26)),2)))</f>
        <v>0.0</v>
      </c>
      <c r="Q26" s="31">
        <f>AU26+MIN(AA25+AK26-AU26,MAX(0,ROUND(ROUND(Долги!$D$19-SUM($AL26:$AU26),2)-(SUM($H26:P26)-SUM($AL26:AT26)),2)))</f>
        <v>0.0</v>
      </c>
      <c r="R26" s="31">
        <f>IF(R25+AB26-H26&lt;=0.01,0,ROUND(R25+AB26-H26,2))</f>
        <v>0.0</v>
      </c>
      <c r="S26" s="31">
        <f>IF(S25+AC26-I26&lt;=0.01,0,ROUND(S25+AC26-I26,2))</f>
        <v>0.0</v>
      </c>
      <c r="T26" s="31">
        <f>IF(T25+AD26-J26&lt;=0.01,0,ROUND(T25+AD26-J26,2))</f>
        <v>0.0</v>
      </c>
      <c r="U26" s="31">
        <f>IF(U25+AE26-K26&lt;=0.01,0,ROUND(U25+AE26-K26,2))</f>
        <v>0.0</v>
      </c>
      <c r="V26" s="31">
        <f>IF(V25+AF26-L26&lt;=0.01,0,ROUND(V25+AF26-L26,2))</f>
        <v>0.0</v>
      </c>
      <c r="W26" s="31">
        <f>IF(W25+AG26-M26&lt;=0.01,0,ROUND(W25+AG26-M26,2))</f>
        <v>0.0</v>
      </c>
      <c r="X26" s="31">
        <f>IF(X25+AH26-N26&lt;=0.01,0,ROUND(X25+AH26-N26,2))</f>
        <v>0.0</v>
      </c>
      <c r="Y26" s="31">
        <f>IF(Y25+AI26-O26&lt;=0.01,0,ROUND(Y25+AI26-O26,2))</f>
        <v>0.0</v>
      </c>
      <c r="Z26" s="31">
        <f>IF(Z25+AJ26-P26&lt;=0.01,0,ROUND(Z25+AJ26-P26,2))</f>
        <v>0.0</v>
      </c>
      <c r="AA26" s="31">
        <f>IF(AA25+AK26-Q26&lt;=0.01,0,ROUND(AA25+AK26-Q26,2))</f>
        <v>0.0</v>
      </c>
      <c r="AB26" s="31">
        <f>ROUND(R25*AB$5/1200,2)</f>
        <v>0.0</v>
      </c>
      <c r="AC26" s="31">
        <f>ROUND(S25*AC$5/1200,2)</f>
        <v>0.0</v>
      </c>
      <c r="AD26" s="31">
        <f>ROUND(T25*AD$5/1200,2)</f>
        <v>0.0</v>
      </c>
      <c r="AE26" s="31">
        <f>ROUND(U25*AE$5/1200,2)</f>
        <v>0.0</v>
      </c>
      <c r="AF26" s="31">
        <f>ROUND(V25*AF$5/1200,2)</f>
        <v>0.0</v>
      </c>
      <c r="AG26" s="31">
        <f>ROUND(W25*AG$5/1200,2)</f>
        <v>0.0</v>
      </c>
      <c r="AH26" s="31">
        <f>ROUND(X25*AH$5/1200,2)</f>
        <v>0.0</v>
      </c>
      <c r="AI26" s="31">
        <f>ROUND(Y25*AI$5/1200,2)</f>
        <v>0.0</v>
      </c>
      <c r="AJ26" s="31">
        <f>ROUND(Z25*AJ$5/1200,2)</f>
        <v>0.0</v>
      </c>
      <c r="AK26" s="31">
        <f>ROUND(AA25*AK$5/1200,2)</f>
        <v>0.0</v>
      </c>
      <c r="AL26" s="31">
        <f>MIN(AL$5,R25+AB26)</f>
        <v>0.0</v>
      </c>
      <c r="AM26" s="31">
        <f>MIN(AM$5,S25+AC26)</f>
        <v>0.0</v>
      </c>
      <c r="AN26" s="31">
        <f>MIN(AN$5,T25+AD26)</f>
        <v>0.0</v>
      </c>
      <c r="AO26" s="31">
        <f>MIN(AO$5,U25+AE26)</f>
        <v>0.0</v>
      </c>
      <c r="AP26" s="31">
        <f>MIN(AP$5,V25+AF26)</f>
        <v>0.0</v>
      </c>
      <c r="AQ26" s="31">
        <f>MIN(AQ$5,W25+AG26)</f>
        <v>0.0</v>
      </c>
      <c r="AR26" s="31">
        <f>MIN(AR$5,X25+AH26)</f>
        <v>0.0</v>
      </c>
      <c r="AS26" s="31">
        <f>MIN(AS$5,Y25+AI26)</f>
        <v>0.0</v>
      </c>
      <c r="AT26" s="31">
        <f>MIN(AT$5,Z25+AJ26)</f>
        <v>0.0</v>
      </c>
      <c r="AU26" s="31">
        <f>MIN(AU$5,AA25+AK26)</f>
        <v>0.0</v>
      </c>
    </row>
    <row r="27">
      <c r="A27" s="25" t="str">
        <f>IF(F26&gt;0.005,22,"")</f>
        <v/>
      </c>
      <c r="B27" s="33" t="str">
        <f>IF(A27="","",EDATE(Долги!$D$5,21))</f>
        <v/>
      </c>
      <c r="C27" s="31">
        <f>SUM(H27:Q27)</f>
        <v>0.0</v>
      </c>
      <c r="D27" s="31">
        <f>SUM(AB27:AK27)</f>
        <v>0.0</v>
      </c>
      <c r="E27" s="31">
        <f>C27-D27</f>
        <v>0.0</v>
      </c>
      <c r="F27" s="31">
        <f>SUM(R27:AA27)</f>
        <v>0.0</v>
      </c>
      <c r="G27" s="34" t="str">
        <f>IF(OR(A27="",$F$5&lt;=0),"",REPT("█",ROUND(20*F27/$F$5,0)))</f>
        <v/>
      </c>
      <c r="H27" s="31">
        <f>AL27+MIN(R26+AB27-AL27,MAX(0,ROUND(Долги!$D$19-SUM($AL27:$AU27),2)))</f>
        <v>0.0</v>
      </c>
      <c r="I27" s="31">
        <f>AM27+MIN(S26+AC27-AM27,MAX(0,ROUND(ROUND(Долги!$D$19-SUM($AL27:$AU27),2)-(SUM($H27:H27)-SUM($AL27:AL27)),2)))</f>
        <v>0.0</v>
      </c>
      <c r="J27" s="31">
        <f>AN27+MIN(T26+AD27-AN27,MAX(0,ROUND(ROUND(Долги!$D$19-SUM($AL27:$AU27),2)-(SUM($H27:I27)-SUM($AL27:AM27)),2)))</f>
        <v>0.0</v>
      </c>
      <c r="K27" s="31">
        <f>AO27+MIN(U26+AE27-AO27,MAX(0,ROUND(ROUND(Долги!$D$19-SUM($AL27:$AU27),2)-(SUM($H27:J27)-SUM($AL27:AN27)),2)))</f>
        <v>0.0</v>
      </c>
      <c r="L27" s="31">
        <f>AP27+MIN(V26+AF27-AP27,MAX(0,ROUND(ROUND(Долги!$D$19-SUM($AL27:$AU27),2)-(SUM($H27:K27)-SUM($AL27:AO27)),2)))</f>
        <v>0.0</v>
      </c>
      <c r="M27" s="31">
        <f>AQ27+MIN(W26+AG27-AQ27,MAX(0,ROUND(ROUND(Долги!$D$19-SUM($AL27:$AU27),2)-(SUM($H27:L27)-SUM($AL27:AP27)),2)))</f>
        <v>0.0</v>
      </c>
      <c r="N27" s="31">
        <f>AR27+MIN(X26+AH27-AR27,MAX(0,ROUND(ROUND(Долги!$D$19-SUM($AL27:$AU27),2)-(SUM($H27:M27)-SUM($AL27:AQ27)),2)))</f>
        <v>0.0</v>
      </c>
      <c r="O27" s="31">
        <f>AS27+MIN(Y26+AI27-AS27,MAX(0,ROUND(ROUND(Долги!$D$19-SUM($AL27:$AU27),2)-(SUM($H27:N27)-SUM($AL27:AR27)),2)))</f>
        <v>0.0</v>
      </c>
      <c r="P27" s="31">
        <f>AT27+MIN(Z26+AJ27-AT27,MAX(0,ROUND(ROUND(Долги!$D$19-SUM($AL27:$AU27),2)-(SUM($H27:O27)-SUM($AL27:AS27)),2)))</f>
        <v>0.0</v>
      </c>
      <c r="Q27" s="31">
        <f>AU27+MIN(AA26+AK27-AU27,MAX(0,ROUND(ROUND(Долги!$D$19-SUM($AL27:$AU27),2)-(SUM($H27:P27)-SUM($AL27:AT27)),2)))</f>
        <v>0.0</v>
      </c>
      <c r="R27" s="31">
        <f>IF(R26+AB27-H27&lt;=0.01,0,ROUND(R26+AB27-H27,2))</f>
        <v>0.0</v>
      </c>
      <c r="S27" s="31">
        <f>IF(S26+AC27-I27&lt;=0.01,0,ROUND(S26+AC27-I27,2))</f>
        <v>0.0</v>
      </c>
      <c r="T27" s="31">
        <f>IF(T26+AD27-J27&lt;=0.01,0,ROUND(T26+AD27-J27,2))</f>
        <v>0.0</v>
      </c>
      <c r="U27" s="31">
        <f>IF(U26+AE27-K27&lt;=0.01,0,ROUND(U26+AE27-K27,2))</f>
        <v>0.0</v>
      </c>
      <c r="V27" s="31">
        <f>IF(V26+AF27-L27&lt;=0.01,0,ROUND(V26+AF27-L27,2))</f>
        <v>0.0</v>
      </c>
      <c r="W27" s="31">
        <f>IF(W26+AG27-M27&lt;=0.01,0,ROUND(W26+AG27-M27,2))</f>
        <v>0.0</v>
      </c>
      <c r="X27" s="31">
        <f>IF(X26+AH27-N27&lt;=0.01,0,ROUND(X26+AH27-N27,2))</f>
        <v>0.0</v>
      </c>
      <c r="Y27" s="31">
        <f>IF(Y26+AI27-O27&lt;=0.01,0,ROUND(Y26+AI27-O27,2))</f>
        <v>0.0</v>
      </c>
      <c r="Z27" s="31">
        <f>IF(Z26+AJ27-P27&lt;=0.01,0,ROUND(Z26+AJ27-P27,2))</f>
        <v>0.0</v>
      </c>
      <c r="AA27" s="31">
        <f>IF(AA26+AK27-Q27&lt;=0.01,0,ROUND(AA26+AK27-Q27,2))</f>
        <v>0.0</v>
      </c>
      <c r="AB27" s="31">
        <f>ROUND(R26*AB$5/1200,2)</f>
        <v>0.0</v>
      </c>
      <c r="AC27" s="31">
        <f>ROUND(S26*AC$5/1200,2)</f>
        <v>0.0</v>
      </c>
      <c r="AD27" s="31">
        <f>ROUND(T26*AD$5/1200,2)</f>
        <v>0.0</v>
      </c>
      <c r="AE27" s="31">
        <f>ROUND(U26*AE$5/1200,2)</f>
        <v>0.0</v>
      </c>
      <c r="AF27" s="31">
        <f>ROUND(V26*AF$5/1200,2)</f>
        <v>0.0</v>
      </c>
      <c r="AG27" s="31">
        <f>ROUND(W26*AG$5/1200,2)</f>
        <v>0.0</v>
      </c>
      <c r="AH27" s="31">
        <f>ROUND(X26*AH$5/1200,2)</f>
        <v>0.0</v>
      </c>
      <c r="AI27" s="31">
        <f>ROUND(Y26*AI$5/1200,2)</f>
        <v>0.0</v>
      </c>
      <c r="AJ27" s="31">
        <f>ROUND(Z26*AJ$5/1200,2)</f>
        <v>0.0</v>
      </c>
      <c r="AK27" s="31">
        <f>ROUND(AA26*AK$5/1200,2)</f>
        <v>0.0</v>
      </c>
      <c r="AL27" s="31">
        <f>MIN(AL$5,R26+AB27)</f>
        <v>0.0</v>
      </c>
      <c r="AM27" s="31">
        <f>MIN(AM$5,S26+AC27)</f>
        <v>0.0</v>
      </c>
      <c r="AN27" s="31">
        <f>MIN(AN$5,T26+AD27)</f>
        <v>0.0</v>
      </c>
      <c r="AO27" s="31">
        <f>MIN(AO$5,U26+AE27)</f>
        <v>0.0</v>
      </c>
      <c r="AP27" s="31">
        <f>MIN(AP$5,V26+AF27)</f>
        <v>0.0</v>
      </c>
      <c r="AQ27" s="31">
        <f>MIN(AQ$5,W26+AG27)</f>
        <v>0.0</v>
      </c>
      <c r="AR27" s="31">
        <f>MIN(AR$5,X26+AH27)</f>
        <v>0.0</v>
      </c>
      <c r="AS27" s="31">
        <f>MIN(AS$5,Y26+AI27)</f>
        <v>0.0</v>
      </c>
      <c r="AT27" s="31">
        <f>MIN(AT$5,Z26+AJ27)</f>
        <v>0.0</v>
      </c>
      <c r="AU27" s="31">
        <f>MIN(AU$5,AA26+AK27)</f>
        <v>0.0</v>
      </c>
    </row>
    <row r="28">
      <c r="A28" s="25" t="str">
        <f>IF(F27&gt;0.005,23,"")</f>
        <v/>
      </c>
      <c r="B28" s="33" t="str">
        <f>IF(A28="","",EDATE(Долги!$D$5,22))</f>
        <v/>
      </c>
      <c r="C28" s="31">
        <f>SUM(H28:Q28)</f>
        <v>0.0</v>
      </c>
      <c r="D28" s="31">
        <f>SUM(AB28:AK28)</f>
        <v>0.0</v>
      </c>
      <c r="E28" s="31">
        <f>C28-D28</f>
        <v>0.0</v>
      </c>
      <c r="F28" s="31">
        <f>SUM(R28:AA28)</f>
        <v>0.0</v>
      </c>
      <c r="G28" s="34" t="str">
        <f>IF(OR(A28="",$F$5&lt;=0),"",REPT("█",ROUND(20*F28/$F$5,0)))</f>
        <v/>
      </c>
      <c r="H28" s="31">
        <f>AL28+MIN(R27+AB28-AL28,MAX(0,ROUND(Долги!$D$19-SUM($AL28:$AU28),2)))</f>
        <v>0.0</v>
      </c>
      <c r="I28" s="31">
        <f>AM28+MIN(S27+AC28-AM28,MAX(0,ROUND(ROUND(Долги!$D$19-SUM($AL28:$AU28),2)-(SUM($H28:H28)-SUM($AL28:AL28)),2)))</f>
        <v>0.0</v>
      </c>
      <c r="J28" s="31">
        <f>AN28+MIN(T27+AD28-AN28,MAX(0,ROUND(ROUND(Долги!$D$19-SUM($AL28:$AU28),2)-(SUM($H28:I28)-SUM($AL28:AM28)),2)))</f>
        <v>0.0</v>
      </c>
      <c r="K28" s="31">
        <f>AO28+MIN(U27+AE28-AO28,MAX(0,ROUND(ROUND(Долги!$D$19-SUM($AL28:$AU28),2)-(SUM($H28:J28)-SUM($AL28:AN28)),2)))</f>
        <v>0.0</v>
      </c>
      <c r="L28" s="31">
        <f>AP28+MIN(V27+AF28-AP28,MAX(0,ROUND(ROUND(Долги!$D$19-SUM($AL28:$AU28),2)-(SUM($H28:K28)-SUM($AL28:AO28)),2)))</f>
        <v>0.0</v>
      </c>
      <c r="M28" s="31">
        <f>AQ28+MIN(W27+AG28-AQ28,MAX(0,ROUND(ROUND(Долги!$D$19-SUM($AL28:$AU28),2)-(SUM($H28:L28)-SUM($AL28:AP28)),2)))</f>
        <v>0.0</v>
      </c>
      <c r="N28" s="31">
        <f>AR28+MIN(X27+AH28-AR28,MAX(0,ROUND(ROUND(Долги!$D$19-SUM($AL28:$AU28),2)-(SUM($H28:M28)-SUM($AL28:AQ28)),2)))</f>
        <v>0.0</v>
      </c>
      <c r="O28" s="31">
        <f>AS28+MIN(Y27+AI28-AS28,MAX(0,ROUND(ROUND(Долги!$D$19-SUM($AL28:$AU28),2)-(SUM($H28:N28)-SUM($AL28:AR28)),2)))</f>
        <v>0.0</v>
      </c>
      <c r="P28" s="31">
        <f>AT28+MIN(Z27+AJ28-AT28,MAX(0,ROUND(ROUND(Долги!$D$19-SUM($AL28:$AU28),2)-(SUM($H28:O28)-SUM($AL28:AS28)),2)))</f>
        <v>0.0</v>
      </c>
      <c r="Q28" s="31">
        <f>AU28+MIN(AA27+AK28-AU28,MAX(0,ROUND(ROUND(Долги!$D$19-SUM($AL28:$AU28),2)-(SUM($H28:P28)-SUM($AL28:AT28)),2)))</f>
        <v>0.0</v>
      </c>
      <c r="R28" s="31">
        <f>IF(R27+AB28-H28&lt;=0.01,0,ROUND(R27+AB28-H28,2))</f>
        <v>0.0</v>
      </c>
      <c r="S28" s="31">
        <f>IF(S27+AC28-I28&lt;=0.01,0,ROUND(S27+AC28-I28,2))</f>
        <v>0.0</v>
      </c>
      <c r="T28" s="31">
        <f>IF(T27+AD28-J28&lt;=0.01,0,ROUND(T27+AD28-J28,2))</f>
        <v>0.0</v>
      </c>
      <c r="U28" s="31">
        <f>IF(U27+AE28-K28&lt;=0.01,0,ROUND(U27+AE28-K28,2))</f>
        <v>0.0</v>
      </c>
      <c r="V28" s="31">
        <f>IF(V27+AF28-L28&lt;=0.01,0,ROUND(V27+AF28-L28,2))</f>
        <v>0.0</v>
      </c>
      <c r="W28" s="31">
        <f>IF(W27+AG28-M28&lt;=0.01,0,ROUND(W27+AG28-M28,2))</f>
        <v>0.0</v>
      </c>
      <c r="X28" s="31">
        <f>IF(X27+AH28-N28&lt;=0.01,0,ROUND(X27+AH28-N28,2))</f>
        <v>0.0</v>
      </c>
      <c r="Y28" s="31">
        <f>IF(Y27+AI28-O28&lt;=0.01,0,ROUND(Y27+AI28-O28,2))</f>
        <v>0.0</v>
      </c>
      <c r="Z28" s="31">
        <f>IF(Z27+AJ28-P28&lt;=0.01,0,ROUND(Z27+AJ28-P28,2))</f>
        <v>0.0</v>
      </c>
      <c r="AA28" s="31">
        <f>IF(AA27+AK28-Q28&lt;=0.01,0,ROUND(AA27+AK28-Q28,2))</f>
        <v>0.0</v>
      </c>
      <c r="AB28" s="31">
        <f>ROUND(R27*AB$5/1200,2)</f>
        <v>0.0</v>
      </c>
      <c r="AC28" s="31">
        <f>ROUND(S27*AC$5/1200,2)</f>
        <v>0.0</v>
      </c>
      <c r="AD28" s="31">
        <f>ROUND(T27*AD$5/1200,2)</f>
        <v>0.0</v>
      </c>
      <c r="AE28" s="31">
        <f>ROUND(U27*AE$5/1200,2)</f>
        <v>0.0</v>
      </c>
      <c r="AF28" s="31">
        <f>ROUND(V27*AF$5/1200,2)</f>
        <v>0.0</v>
      </c>
      <c r="AG28" s="31">
        <f>ROUND(W27*AG$5/1200,2)</f>
        <v>0.0</v>
      </c>
      <c r="AH28" s="31">
        <f>ROUND(X27*AH$5/1200,2)</f>
        <v>0.0</v>
      </c>
      <c r="AI28" s="31">
        <f>ROUND(Y27*AI$5/1200,2)</f>
        <v>0.0</v>
      </c>
      <c r="AJ28" s="31">
        <f>ROUND(Z27*AJ$5/1200,2)</f>
        <v>0.0</v>
      </c>
      <c r="AK28" s="31">
        <f>ROUND(AA27*AK$5/1200,2)</f>
        <v>0.0</v>
      </c>
      <c r="AL28" s="31">
        <f>MIN(AL$5,R27+AB28)</f>
        <v>0.0</v>
      </c>
      <c r="AM28" s="31">
        <f>MIN(AM$5,S27+AC28)</f>
        <v>0.0</v>
      </c>
      <c r="AN28" s="31">
        <f>MIN(AN$5,T27+AD28)</f>
        <v>0.0</v>
      </c>
      <c r="AO28" s="31">
        <f>MIN(AO$5,U27+AE28)</f>
        <v>0.0</v>
      </c>
      <c r="AP28" s="31">
        <f>MIN(AP$5,V27+AF28)</f>
        <v>0.0</v>
      </c>
      <c r="AQ28" s="31">
        <f>MIN(AQ$5,W27+AG28)</f>
        <v>0.0</v>
      </c>
      <c r="AR28" s="31">
        <f>MIN(AR$5,X27+AH28)</f>
        <v>0.0</v>
      </c>
      <c r="AS28" s="31">
        <f>MIN(AS$5,Y27+AI28)</f>
        <v>0.0</v>
      </c>
      <c r="AT28" s="31">
        <f>MIN(AT$5,Z27+AJ28)</f>
        <v>0.0</v>
      </c>
      <c r="AU28" s="31">
        <f>MIN(AU$5,AA27+AK28)</f>
        <v>0.0</v>
      </c>
    </row>
    <row r="29">
      <c r="A29" s="25" t="str">
        <f>IF(F28&gt;0.005,24,"")</f>
        <v/>
      </c>
      <c r="B29" s="33" t="str">
        <f>IF(A29="","",EDATE(Долги!$D$5,23))</f>
        <v/>
      </c>
      <c r="C29" s="31">
        <f>SUM(H29:Q29)</f>
        <v>0.0</v>
      </c>
      <c r="D29" s="31">
        <f>SUM(AB29:AK29)</f>
        <v>0.0</v>
      </c>
      <c r="E29" s="31">
        <f>C29-D29</f>
        <v>0.0</v>
      </c>
      <c r="F29" s="31">
        <f>SUM(R29:AA29)</f>
        <v>0.0</v>
      </c>
      <c r="G29" s="34" t="str">
        <f>IF(OR(A29="",$F$5&lt;=0),"",REPT("█",ROUND(20*F29/$F$5,0)))</f>
        <v/>
      </c>
      <c r="H29" s="31">
        <f>AL29+MIN(R28+AB29-AL29,MAX(0,ROUND(Долги!$D$19-SUM($AL29:$AU29),2)))</f>
        <v>0.0</v>
      </c>
      <c r="I29" s="31">
        <f>AM29+MIN(S28+AC29-AM29,MAX(0,ROUND(ROUND(Долги!$D$19-SUM($AL29:$AU29),2)-(SUM($H29:H29)-SUM($AL29:AL29)),2)))</f>
        <v>0.0</v>
      </c>
      <c r="J29" s="31">
        <f>AN29+MIN(T28+AD29-AN29,MAX(0,ROUND(ROUND(Долги!$D$19-SUM($AL29:$AU29),2)-(SUM($H29:I29)-SUM($AL29:AM29)),2)))</f>
        <v>0.0</v>
      </c>
      <c r="K29" s="31">
        <f>AO29+MIN(U28+AE29-AO29,MAX(0,ROUND(ROUND(Долги!$D$19-SUM($AL29:$AU29),2)-(SUM($H29:J29)-SUM($AL29:AN29)),2)))</f>
        <v>0.0</v>
      </c>
      <c r="L29" s="31">
        <f>AP29+MIN(V28+AF29-AP29,MAX(0,ROUND(ROUND(Долги!$D$19-SUM($AL29:$AU29),2)-(SUM($H29:K29)-SUM($AL29:AO29)),2)))</f>
        <v>0.0</v>
      </c>
      <c r="M29" s="31">
        <f>AQ29+MIN(W28+AG29-AQ29,MAX(0,ROUND(ROUND(Долги!$D$19-SUM($AL29:$AU29),2)-(SUM($H29:L29)-SUM($AL29:AP29)),2)))</f>
        <v>0.0</v>
      </c>
      <c r="N29" s="31">
        <f>AR29+MIN(X28+AH29-AR29,MAX(0,ROUND(ROUND(Долги!$D$19-SUM($AL29:$AU29),2)-(SUM($H29:M29)-SUM($AL29:AQ29)),2)))</f>
        <v>0.0</v>
      </c>
      <c r="O29" s="31">
        <f>AS29+MIN(Y28+AI29-AS29,MAX(0,ROUND(ROUND(Долги!$D$19-SUM($AL29:$AU29),2)-(SUM($H29:N29)-SUM($AL29:AR29)),2)))</f>
        <v>0.0</v>
      </c>
      <c r="P29" s="31">
        <f>AT29+MIN(Z28+AJ29-AT29,MAX(0,ROUND(ROUND(Долги!$D$19-SUM($AL29:$AU29),2)-(SUM($H29:O29)-SUM($AL29:AS29)),2)))</f>
        <v>0.0</v>
      </c>
      <c r="Q29" s="31">
        <f>AU29+MIN(AA28+AK29-AU29,MAX(0,ROUND(ROUND(Долги!$D$19-SUM($AL29:$AU29),2)-(SUM($H29:P29)-SUM($AL29:AT29)),2)))</f>
        <v>0.0</v>
      </c>
      <c r="R29" s="31">
        <f>IF(R28+AB29-H29&lt;=0.01,0,ROUND(R28+AB29-H29,2))</f>
        <v>0.0</v>
      </c>
      <c r="S29" s="31">
        <f>IF(S28+AC29-I29&lt;=0.01,0,ROUND(S28+AC29-I29,2))</f>
        <v>0.0</v>
      </c>
      <c r="T29" s="31">
        <f>IF(T28+AD29-J29&lt;=0.01,0,ROUND(T28+AD29-J29,2))</f>
        <v>0.0</v>
      </c>
      <c r="U29" s="31">
        <f>IF(U28+AE29-K29&lt;=0.01,0,ROUND(U28+AE29-K29,2))</f>
        <v>0.0</v>
      </c>
      <c r="V29" s="31">
        <f>IF(V28+AF29-L29&lt;=0.01,0,ROUND(V28+AF29-L29,2))</f>
        <v>0.0</v>
      </c>
      <c r="W29" s="31">
        <f>IF(W28+AG29-M29&lt;=0.01,0,ROUND(W28+AG29-M29,2))</f>
        <v>0.0</v>
      </c>
      <c r="X29" s="31">
        <f>IF(X28+AH29-N29&lt;=0.01,0,ROUND(X28+AH29-N29,2))</f>
        <v>0.0</v>
      </c>
      <c r="Y29" s="31">
        <f>IF(Y28+AI29-O29&lt;=0.01,0,ROUND(Y28+AI29-O29,2))</f>
        <v>0.0</v>
      </c>
      <c r="Z29" s="31">
        <f>IF(Z28+AJ29-P29&lt;=0.01,0,ROUND(Z28+AJ29-P29,2))</f>
        <v>0.0</v>
      </c>
      <c r="AA29" s="31">
        <f>IF(AA28+AK29-Q29&lt;=0.01,0,ROUND(AA28+AK29-Q29,2))</f>
        <v>0.0</v>
      </c>
      <c r="AB29" s="31">
        <f>ROUND(R28*AB$5/1200,2)</f>
        <v>0.0</v>
      </c>
      <c r="AC29" s="31">
        <f>ROUND(S28*AC$5/1200,2)</f>
        <v>0.0</v>
      </c>
      <c r="AD29" s="31">
        <f>ROUND(T28*AD$5/1200,2)</f>
        <v>0.0</v>
      </c>
      <c r="AE29" s="31">
        <f>ROUND(U28*AE$5/1200,2)</f>
        <v>0.0</v>
      </c>
      <c r="AF29" s="31">
        <f>ROUND(V28*AF$5/1200,2)</f>
        <v>0.0</v>
      </c>
      <c r="AG29" s="31">
        <f>ROUND(W28*AG$5/1200,2)</f>
        <v>0.0</v>
      </c>
      <c r="AH29" s="31">
        <f>ROUND(X28*AH$5/1200,2)</f>
        <v>0.0</v>
      </c>
      <c r="AI29" s="31">
        <f>ROUND(Y28*AI$5/1200,2)</f>
        <v>0.0</v>
      </c>
      <c r="AJ29" s="31">
        <f>ROUND(Z28*AJ$5/1200,2)</f>
        <v>0.0</v>
      </c>
      <c r="AK29" s="31">
        <f>ROUND(AA28*AK$5/1200,2)</f>
        <v>0.0</v>
      </c>
      <c r="AL29" s="31">
        <f>MIN(AL$5,R28+AB29)</f>
        <v>0.0</v>
      </c>
      <c r="AM29" s="31">
        <f>MIN(AM$5,S28+AC29)</f>
        <v>0.0</v>
      </c>
      <c r="AN29" s="31">
        <f>MIN(AN$5,T28+AD29)</f>
        <v>0.0</v>
      </c>
      <c r="AO29" s="31">
        <f>MIN(AO$5,U28+AE29)</f>
        <v>0.0</v>
      </c>
      <c r="AP29" s="31">
        <f>MIN(AP$5,V28+AF29)</f>
        <v>0.0</v>
      </c>
      <c r="AQ29" s="31">
        <f>MIN(AQ$5,W28+AG29)</f>
        <v>0.0</v>
      </c>
      <c r="AR29" s="31">
        <f>MIN(AR$5,X28+AH29)</f>
        <v>0.0</v>
      </c>
      <c r="AS29" s="31">
        <f>MIN(AS$5,Y28+AI29)</f>
        <v>0.0</v>
      </c>
      <c r="AT29" s="31">
        <f>MIN(AT$5,Z28+AJ29)</f>
        <v>0.0</v>
      </c>
      <c r="AU29" s="31">
        <f>MIN(AU$5,AA28+AK29)</f>
        <v>0.0</v>
      </c>
    </row>
    <row r="30">
      <c r="A30" s="25" t="str">
        <f>IF(F29&gt;0.005,25,"")</f>
        <v/>
      </c>
      <c r="B30" s="33" t="str">
        <f>IF(A30="","",EDATE(Долги!$D$5,24))</f>
        <v/>
      </c>
      <c r="C30" s="31">
        <f>SUM(H30:Q30)</f>
        <v>0.0</v>
      </c>
      <c r="D30" s="31">
        <f>SUM(AB30:AK30)</f>
        <v>0.0</v>
      </c>
      <c r="E30" s="31">
        <f>C30-D30</f>
        <v>0.0</v>
      </c>
      <c r="F30" s="31">
        <f>SUM(R30:AA30)</f>
        <v>0.0</v>
      </c>
      <c r="G30" s="34" t="str">
        <f>IF(OR(A30="",$F$5&lt;=0),"",REPT("█",ROUND(20*F30/$F$5,0)))</f>
        <v/>
      </c>
      <c r="H30" s="31">
        <f>AL30+MIN(R29+AB30-AL30,MAX(0,ROUND(Долги!$D$19-SUM($AL30:$AU30),2)))</f>
        <v>0.0</v>
      </c>
      <c r="I30" s="31">
        <f>AM30+MIN(S29+AC30-AM30,MAX(0,ROUND(ROUND(Долги!$D$19-SUM($AL30:$AU30),2)-(SUM($H30:H30)-SUM($AL30:AL30)),2)))</f>
        <v>0.0</v>
      </c>
      <c r="J30" s="31">
        <f>AN30+MIN(T29+AD30-AN30,MAX(0,ROUND(ROUND(Долги!$D$19-SUM($AL30:$AU30),2)-(SUM($H30:I30)-SUM($AL30:AM30)),2)))</f>
        <v>0.0</v>
      </c>
      <c r="K30" s="31">
        <f>AO30+MIN(U29+AE30-AO30,MAX(0,ROUND(ROUND(Долги!$D$19-SUM($AL30:$AU30),2)-(SUM($H30:J30)-SUM($AL30:AN30)),2)))</f>
        <v>0.0</v>
      </c>
      <c r="L30" s="31">
        <f>AP30+MIN(V29+AF30-AP30,MAX(0,ROUND(ROUND(Долги!$D$19-SUM($AL30:$AU30),2)-(SUM($H30:K30)-SUM($AL30:AO30)),2)))</f>
        <v>0.0</v>
      </c>
      <c r="M30" s="31">
        <f>AQ30+MIN(W29+AG30-AQ30,MAX(0,ROUND(ROUND(Долги!$D$19-SUM($AL30:$AU30),2)-(SUM($H30:L30)-SUM($AL30:AP30)),2)))</f>
        <v>0.0</v>
      </c>
      <c r="N30" s="31">
        <f>AR30+MIN(X29+AH30-AR30,MAX(0,ROUND(ROUND(Долги!$D$19-SUM($AL30:$AU30),2)-(SUM($H30:M30)-SUM($AL30:AQ30)),2)))</f>
        <v>0.0</v>
      </c>
      <c r="O30" s="31">
        <f>AS30+MIN(Y29+AI30-AS30,MAX(0,ROUND(ROUND(Долги!$D$19-SUM($AL30:$AU30),2)-(SUM($H30:N30)-SUM($AL30:AR30)),2)))</f>
        <v>0.0</v>
      </c>
      <c r="P30" s="31">
        <f>AT30+MIN(Z29+AJ30-AT30,MAX(0,ROUND(ROUND(Долги!$D$19-SUM($AL30:$AU30),2)-(SUM($H30:O30)-SUM($AL30:AS30)),2)))</f>
        <v>0.0</v>
      </c>
      <c r="Q30" s="31">
        <f>AU30+MIN(AA29+AK30-AU30,MAX(0,ROUND(ROUND(Долги!$D$19-SUM($AL30:$AU30),2)-(SUM($H30:P30)-SUM($AL30:AT30)),2)))</f>
        <v>0.0</v>
      </c>
      <c r="R30" s="31">
        <f>IF(R29+AB30-H30&lt;=0.01,0,ROUND(R29+AB30-H30,2))</f>
        <v>0.0</v>
      </c>
      <c r="S30" s="31">
        <f>IF(S29+AC30-I30&lt;=0.01,0,ROUND(S29+AC30-I30,2))</f>
        <v>0.0</v>
      </c>
      <c r="T30" s="31">
        <f>IF(T29+AD30-J30&lt;=0.01,0,ROUND(T29+AD30-J30,2))</f>
        <v>0.0</v>
      </c>
      <c r="U30" s="31">
        <f>IF(U29+AE30-K30&lt;=0.01,0,ROUND(U29+AE30-K30,2))</f>
        <v>0.0</v>
      </c>
      <c r="V30" s="31">
        <f>IF(V29+AF30-L30&lt;=0.01,0,ROUND(V29+AF30-L30,2))</f>
        <v>0.0</v>
      </c>
      <c r="W30" s="31">
        <f>IF(W29+AG30-M30&lt;=0.01,0,ROUND(W29+AG30-M30,2))</f>
        <v>0.0</v>
      </c>
      <c r="X30" s="31">
        <f>IF(X29+AH30-N30&lt;=0.01,0,ROUND(X29+AH30-N30,2))</f>
        <v>0.0</v>
      </c>
      <c r="Y30" s="31">
        <f>IF(Y29+AI30-O30&lt;=0.01,0,ROUND(Y29+AI30-O30,2))</f>
        <v>0.0</v>
      </c>
      <c r="Z30" s="31">
        <f>IF(Z29+AJ30-P30&lt;=0.01,0,ROUND(Z29+AJ30-P30,2))</f>
        <v>0.0</v>
      </c>
      <c r="AA30" s="31">
        <f>IF(AA29+AK30-Q30&lt;=0.01,0,ROUND(AA29+AK30-Q30,2))</f>
        <v>0.0</v>
      </c>
      <c r="AB30" s="31">
        <f>ROUND(R29*AB$5/1200,2)</f>
        <v>0.0</v>
      </c>
      <c r="AC30" s="31">
        <f>ROUND(S29*AC$5/1200,2)</f>
        <v>0.0</v>
      </c>
      <c r="AD30" s="31">
        <f>ROUND(T29*AD$5/1200,2)</f>
        <v>0.0</v>
      </c>
      <c r="AE30" s="31">
        <f>ROUND(U29*AE$5/1200,2)</f>
        <v>0.0</v>
      </c>
      <c r="AF30" s="31">
        <f>ROUND(V29*AF$5/1200,2)</f>
        <v>0.0</v>
      </c>
      <c r="AG30" s="31">
        <f>ROUND(W29*AG$5/1200,2)</f>
        <v>0.0</v>
      </c>
      <c r="AH30" s="31">
        <f>ROUND(X29*AH$5/1200,2)</f>
        <v>0.0</v>
      </c>
      <c r="AI30" s="31">
        <f>ROUND(Y29*AI$5/1200,2)</f>
        <v>0.0</v>
      </c>
      <c r="AJ30" s="31">
        <f>ROUND(Z29*AJ$5/1200,2)</f>
        <v>0.0</v>
      </c>
      <c r="AK30" s="31">
        <f>ROUND(AA29*AK$5/1200,2)</f>
        <v>0.0</v>
      </c>
      <c r="AL30" s="31">
        <f>MIN(AL$5,R29+AB30)</f>
        <v>0.0</v>
      </c>
      <c r="AM30" s="31">
        <f>MIN(AM$5,S29+AC30)</f>
        <v>0.0</v>
      </c>
      <c r="AN30" s="31">
        <f>MIN(AN$5,T29+AD30)</f>
        <v>0.0</v>
      </c>
      <c r="AO30" s="31">
        <f>MIN(AO$5,U29+AE30)</f>
        <v>0.0</v>
      </c>
      <c r="AP30" s="31">
        <f>MIN(AP$5,V29+AF30)</f>
        <v>0.0</v>
      </c>
      <c r="AQ30" s="31">
        <f>MIN(AQ$5,W29+AG30)</f>
        <v>0.0</v>
      </c>
      <c r="AR30" s="31">
        <f>MIN(AR$5,X29+AH30)</f>
        <v>0.0</v>
      </c>
      <c r="AS30" s="31">
        <f>MIN(AS$5,Y29+AI30)</f>
        <v>0.0</v>
      </c>
      <c r="AT30" s="31">
        <f>MIN(AT$5,Z29+AJ30)</f>
        <v>0.0</v>
      </c>
      <c r="AU30" s="31">
        <f>MIN(AU$5,AA29+AK30)</f>
        <v>0.0</v>
      </c>
    </row>
    <row r="31">
      <c r="A31" s="25" t="str">
        <f>IF(F30&gt;0.005,26,"")</f>
        <v/>
      </c>
      <c r="B31" s="33" t="str">
        <f>IF(A31="","",EDATE(Долги!$D$5,25))</f>
        <v/>
      </c>
      <c r="C31" s="31">
        <f>SUM(H31:Q31)</f>
        <v>0.0</v>
      </c>
      <c r="D31" s="31">
        <f>SUM(AB31:AK31)</f>
        <v>0.0</v>
      </c>
      <c r="E31" s="31">
        <f>C31-D31</f>
        <v>0.0</v>
      </c>
      <c r="F31" s="31">
        <f>SUM(R31:AA31)</f>
        <v>0.0</v>
      </c>
      <c r="G31" s="34" t="str">
        <f>IF(OR(A31="",$F$5&lt;=0),"",REPT("█",ROUND(20*F31/$F$5,0)))</f>
        <v/>
      </c>
      <c r="H31" s="31">
        <f>AL31+MIN(R30+AB31-AL31,MAX(0,ROUND(Долги!$D$19-SUM($AL31:$AU31),2)))</f>
        <v>0.0</v>
      </c>
      <c r="I31" s="31">
        <f>AM31+MIN(S30+AC31-AM31,MAX(0,ROUND(ROUND(Долги!$D$19-SUM($AL31:$AU31),2)-(SUM($H31:H31)-SUM($AL31:AL31)),2)))</f>
        <v>0.0</v>
      </c>
      <c r="J31" s="31">
        <f>AN31+MIN(T30+AD31-AN31,MAX(0,ROUND(ROUND(Долги!$D$19-SUM($AL31:$AU31),2)-(SUM($H31:I31)-SUM($AL31:AM31)),2)))</f>
        <v>0.0</v>
      </c>
      <c r="K31" s="31">
        <f>AO31+MIN(U30+AE31-AO31,MAX(0,ROUND(ROUND(Долги!$D$19-SUM($AL31:$AU31),2)-(SUM($H31:J31)-SUM($AL31:AN31)),2)))</f>
        <v>0.0</v>
      </c>
      <c r="L31" s="31">
        <f>AP31+MIN(V30+AF31-AP31,MAX(0,ROUND(ROUND(Долги!$D$19-SUM($AL31:$AU31),2)-(SUM($H31:K31)-SUM($AL31:AO31)),2)))</f>
        <v>0.0</v>
      </c>
      <c r="M31" s="31">
        <f>AQ31+MIN(W30+AG31-AQ31,MAX(0,ROUND(ROUND(Долги!$D$19-SUM($AL31:$AU31),2)-(SUM($H31:L31)-SUM($AL31:AP31)),2)))</f>
        <v>0.0</v>
      </c>
      <c r="N31" s="31">
        <f>AR31+MIN(X30+AH31-AR31,MAX(0,ROUND(ROUND(Долги!$D$19-SUM($AL31:$AU31),2)-(SUM($H31:M31)-SUM($AL31:AQ31)),2)))</f>
        <v>0.0</v>
      </c>
      <c r="O31" s="31">
        <f>AS31+MIN(Y30+AI31-AS31,MAX(0,ROUND(ROUND(Долги!$D$19-SUM($AL31:$AU31),2)-(SUM($H31:N31)-SUM($AL31:AR31)),2)))</f>
        <v>0.0</v>
      </c>
      <c r="P31" s="31">
        <f>AT31+MIN(Z30+AJ31-AT31,MAX(0,ROUND(ROUND(Долги!$D$19-SUM($AL31:$AU31),2)-(SUM($H31:O31)-SUM($AL31:AS31)),2)))</f>
        <v>0.0</v>
      </c>
      <c r="Q31" s="31">
        <f>AU31+MIN(AA30+AK31-AU31,MAX(0,ROUND(ROUND(Долги!$D$19-SUM($AL31:$AU31),2)-(SUM($H31:P31)-SUM($AL31:AT31)),2)))</f>
        <v>0.0</v>
      </c>
      <c r="R31" s="31">
        <f>IF(R30+AB31-H31&lt;=0.01,0,ROUND(R30+AB31-H31,2))</f>
        <v>0.0</v>
      </c>
      <c r="S31" s="31">
        <f>IF(S30+AC31-I31&lt;=0.01,0,ROUND(S30+AC31-I31,2))</f>
        <v>0.0</v>
      </c>
      <c r="T31" s="31">
        <f>IF(T30+AD31-J31&lt;=0.01,0,ROUND(T30+AD31-J31,2))</f>
        <v>0.0</v>
      </c>
      <c r="U31" s="31">
        <f>IF(U30+AE31-K31&lt;=0.01,0,ROUND(U30+AE31-K31,2))</f>
        <v>0.0</v>
      </c>
      <c r="V31" s="31">
        <f>IF(V30+AF31-L31&lt;=0.01,0,ROUND(V30+AF31-L31,2))</f>
        <v>0.0</v>
      </c>
      <c r="W31" s="31">
        <f>IF(W30+AG31-M31&lt;=0.01,0,ROUND(W30+AG31-M31,2))</f>
        <v>0.0</v>
      </c>
      <c r="X31" s="31">
        <f>IF(X30+AH31-N31&lt;=0.01,0,ROUND(X30+AH31-N31,2))</f>
        <v>0.0</v>
      </c>
      <c r="Y31" s="31">
        <f>IF(Y30+AI31-O31&lt;=0.01,0,ROUND(Y30+AI31-O31,2))</f>
        <v>0.0</v>
      </c>
      <c r="Z31" s="31">
        <f>IF(Z30+AJ31-P31&lt;=0.01,0,ROUND(Z30+AJ31-P31,2))</f>
        <v>0.0</v>
      </c>
      <c r="AA31" s="31">
        <f>IF(AA30+AK31-Q31&lt;=0.01,0,ROUND(AA30+AK31-Q31,2))</f>
        <v>0.0</v>
      </c>
      <c r="AB31" s="31">
        <f>ROUND(R30*AB$5/1200,2)</f>
        <v>0.0</v>
      </c>
      <c r="AC31" s="31">
        <f>ROUND(S30*AC$5/1200,2)</f>
        <v>0.0</v>
      </c>
      <c r="AD31" s="31">
        <f>ROUND(T30*AD$5/1200,2)</f>
        <v>0.0</v>
      </c>
      <c r="AE31" s="31">
        <f>ROUND(U30*AE$5/1200,2)</f>
        <v>0.0</v>
      </c>
      <c r="AF31" s="31">
        <f>ROUND(V30*AF$5/1200,2)</f>
        <v>0.0</v>
      </c>
      <c r="AG31" s="31">
        <f>ROUND(W30*AG$5/1200,2)</f>
        <v>0.0</v>
      </c>
      <c r="AH31" s="31">
        <f>ROUND(X30*AH$5/1200,2)</f>
        <v>0.0</v>
      </c>
      <c r="AI31" s="31">
        <f>ROUND(Y30*AI$5/1200,2)</f>
        <v>0.0</v>
      </c>
      <c r="AJ31" s="31">
        <f>ROUND(Z30*AJ$5/1200,2)</f>
        <v>0.0</v>
      </c>
      <c r="AK31" s="31">
        <f>ROUND(AA30*AK$5/1200,2)</f>
        <v>0.0</v>
      </c>
      <c r="AL31" s="31">
        <f>MIN(AL$5,R30+AB31)</f>
        <v>0.0</v>
      </c>
      <c r="AM31" s="31">
        <f>MIN(AM$5,S30+AC31)</f>
        <v>0.0</v>
      </c>
      <c r="AN31" s="31">
        <f>MIN(AN$5,T30+AD31)</f>
        <v>0.0</v>
      </c>
      <c r="AO31" s="31">
        <f>MIN(AO$5,U30+AE31)</f>
        <v>0.0</v>
      </c>
      <c r="AP31" s="31">
        <f>MIN(AP$5,V30+AF31)</f>
        <v>0.0</v>
      </c>
      <c r="AQ31" s="31">
        <f>MIN(AQ$5,W30+AG31)</f>
        <v>0.0</v>
      </c>
      <c r="AR31" s="31">
        <f>MIN(AR$5,X30+AH31)</f>
        <v>0.0</v>
      </c>
      <c r="AS31" s="31">
        <f>MIN(AS$5,Y30+AI31)</f>
        <v>0.0</v>
      </c>
      <c r="AT31" s="31">
        <f>MIN(AT$5,Z30+AJ31)</f>
        <v>0.0</v>
      </c>
      <c r="AU31" s="31">
        <f>MIN(AU$5,AA30+AK31)</f>
        <v>0.0</v>
      </c>
    </row>
    <row r="32">
      <c r="A32" s="25" t="str">
        <f>IF(F31&gt;0.005,27,"")</f>
        <v/>
      </c>
      <c r="B32" s="33" t="str">
        <f>IF(A32="","",EDATE(Долги!$D$5,26))</f>
        <v/>
      </c>
      <c r="C32" s="31">
        <f>SUM(H32:Q32)</f>
        <v>0.0</v>
      </c>
      <c r="D32" s="31">
        <f>SUM(AB32:AK32)</f>
        <v>0.0</v>
      </c>
      <c r="E32" s="31">
        <f>C32-D32</f>
        <v>0.0</v>
      </c>
      <c r="F32" s="31">
        <f>SUM(R32:AA32)</f>
        <v>0.0</v>
      </c>
      <c r="G32" s="34" t="str">
        <f>IF(OR(A32="",$F$5&lt;=0),"",REPT("█",ROUND(20*F32/$F$5,0)))</f>
        <v/>
      </c>
      <c r="H32" s="31">
        <f>AL32+MIN(R31+AB32-AL32,MAX(0,ROUND(Долги!$D$19-SUM($AL32:$AU32),2)))</f>
        <v>0.0</v>
      </c>
      <c r="I32" s="31">
        <f>AM32+MIN(S31+AC32-AM32,MAX(0,ROUND(ROUND(Долги!$D$19-SUM($AL32:$AU32),2)-(SUM($H32:H32)-SUM($AL32:AL32)),2)))</f>
        <v>0.0</v>
      </c>
      <c r="J32" s="31">
        <f>AN32+MIN(T31+AD32-AN32,MAX(0,ROUND(ROUND(Долги!$D$19-SUM($AL32:$AU32),2)-(SUM($H32:I32)-SUM($AL32:AM32)),2)))</f>
        <v>0.0</v>
      </c>
      <c r="K32" s="31">
        <f>AO32+MIN(U31+AE32-AO32,MAX(0,ROUND(ROUND(Долги!$D$19-SUM($AL32:$AU32),2)-(SUM($H32:J32)-SUM($AL32:AN32)),2)))</f>
        <v>0.0</v>
      </c>
      <c r="L32" s="31">
        <f>AP32+MIN(V31+AF32-AP32,MAX(0,ROUND(ROUND(Долги!$D$19-SUM($AL32:$AU32),2)-(SUM($H32:K32)-SUM($AL32:AO32)),2)))</f>
        <v>0.0</v>
      </c>
      <c r="M32" s="31">
        <f>AQ32+MIN(W31+AG32-AQ32,MAX(0,ROUND(ROUND(Долги!$D$19-SUM($AL32:$AU32),2)-(SUM($H32:L32)-SUM($AL32:AP32)),2)))</f>
        <v>0.0</v>
      </c>
      <c r="N32" s="31">
        <f>AR32+MIN(X31+AH32-AR32,MAX(0,ROUND(ROUND(Долги!$D$19-SUM($AL32:$AU32),2)-(SUM($H32:M32)-SUM($AL32:AQ32)),2)))</f>
        <v>0.0</v>
      </c>
      <c r="O32" s="31">
        <f>AS32+MIN(Y31+AI32-AS32,MAX(0,ROUND(ROUND(Долги!$D$19-SUM($AL32:$AU32),2)-(SUM($H32:N32)-SUM($AL32:AR32)),2)))</f>
        <v>0.0</v>
      </c>
      <c r="P32" s="31">
        <f>AT32+MIN(Z31+AJ32-AT32,MAX(0,ROUND(ROUND(Долги!$D$19-SUM($AL32:$AU32),2)-(SUM($H32:O32)-SUM($AL32:AS32)),2)))</f>
        <v>0.0</v>
      </c>
      <c r="Q32" s="31">
        <f>AU32+MIN(AA31+AK32-AU32,MAX(0,ROUND(ROUND(Долги!$D$19-SUM($AL32:$AU32),2)-(SUM($H32:P32)-SUM($AL32:AT32)),2)))</f>
        <v>0.0</v>
      </c>
      <c r="R32" s="31">
        <f>IF(R31+AB32-H32&lt;=0.01,0,ROUND(R31+AB32-H32,2))</f>
        <v>0.0</v>
      </c>
      <c r="S32" s="31">
        <f>IF(S31+AC32-I32&lt;=0.01,0,ROUND(S31+AC32-I32,2))</f>
        <v>0.0</v>
      </c>
      <c r="T32" s="31">
        <f>IF(T31+AD32-J32&lt;=0.01,0,ROUND(T31+AD32-J32,2))</f>
        <v>0.0</v>
      </c>
      <c r="U32" s="31">
        <f>IF(U31+AE32-K32&lt;=0.01,0,ROUND(U31+AE32-K32,2))</f>
        <v>0.0</v>
      </c>
      <c r="V32" s="31">
        <f>IF(V31+AF32-L32&lt;=0.01,0,ROUND(V31+AF32-L32,2))</f>
        <v>0.0</v>
      </c>
      <c r="W32" s="31">
        <f>IF(W31+AG32-M32&lt;=0.01,0,ROUND(W31+AG32-M32,2))</f>
        <v>0.0</v>
      </c>
      <c r="X32" s="31">
        <f>IF(X31+AH32-N32&lt;=0.01,0,ROUND(X31+AH32-N32,2))</f>
        <v>0.0</v>
      </c>
      <c r="Y32" s="31">
        <f>IF(Y31+AI32-O32&lt;=0.01,0,ROUND(Y31+AI32-O32,2))</f>
        <v>0.0</v>
      </c>
      <c r="Z32" s="31">
        <f>IF(Z31+AJ32-P32&lt;=0.01,0,ROUND(Z31+AJ32-P32,2))</f>
        <v>0.0</v>
      </c>
      <c r="AA32" s="31">
        <f>IF(AA31+AK32-Q32&lt;=0.01,0,ROUND(AA31+AK32-Q32,2))</f>
        <v>0.0</v>
      </c>
      <c r="AB32" s="31">
        <f>ROUND(R31*AB$5/1200,2)</f>
        <v>0.0</v>
      </c>
      <c r="AC32" s="31">
        <f>ROUND(S31*AC$5/1200,2)</f>
        <v>0.0</v>
      </c>
      <c r="AD32" s="31">
        <f>ROUND(T31*AD$5/1200,2)</f>
        <v>0.0</v>
      </c>
      <c r="AE32" s="31">
        <f>ROUND(U31*AE$5/1200,2)</f>
        <v>0.0</v>
      </c>
      <c r="AF32" s="31">
        <f>ROUND(V31*AF$5/1200,2)</f>
        <v>0.0</v>
      </c>
      <c r="AG32" s="31">
        <f>ROUND(W31*AG$5/1200,2)</f>
        <v>0.0</v>
      </c>
      <c r="AH32" s="31">
        <f>ROUND(X31*AH$5/1200,2)</f>
        <v>0.0</v>
      </c>
      <c r="AI32" s="31">
        <f>ROUND(Y31*AI$5/1200,2)</f>
        <v>0.0</v>
      </c>
      <c r="AJ32" s="31">
        <f>ROUND(Z31*AJ$5/1200,2)</f>
        <v>0.0</v>
      </c>
      <c r="AK32" s="31">
        <f>ROUND(AA31*AK$5/1200,2)</f>
        <v>0.0</v>
      </c>
      <c r="AL32" s="31">
        <f>MIN(AL$5,R31+AB32)</f>
        <v>0.0</v>
      </c>
      <c r="AM32" s="31">
        <f>MIN(AM$5,S31+AC32)</f>
        <v>0.0</v>
      </c>
      <c r="AN32" s="31">
        <f>MIN(AN$5,T31+AD32)</f>
        <v>0.0</v>
      </c>
      <c r="AO32" s="31">
        <f>MIN(AO$5,U31+AE32)</f>
        <v>0.0</v>
      </c>
      <c r="AP32" s="31">
        <f>MIN(AP$5,V31+AF32)</f>
        <v>0.0</v>
      </c>
      <c r="AQ32" s="31">
        <f>MIN(AQ$5,W31+AG32)</f>
        <v>0.0</v>
      </c>
      <c r="AR32" s="31">
        <f>MIN(AR$5,X31+AH32)</f>
        <v>0.0</v>
      </c>
      <c r="AS32" s="31">
        <f>MIN(AS$5,Y31+AI32)</f>
        <v>0.0</v>
      </c>
      <c r="AT32" s="31">
        <f>MIN(AT$5,Z31+AJ32)</f>
        <v>0.0</v>
      </c>
      <c r="AU32" s="31">
        <f>MIN(AU$5,AA31+AK32)</f>
        <v>0.0</v>
      </c>
    </row>
    <row r="33">
      <c r="A33" s="25" t="str">
        <f>IF(F32&gt;0.005,28,"")</f>
        <v/>
      </c>
      <c r="B33" s="33" t="str">
        <f>IF(A33="","",EDATE(Долги!$D$5,27))</f>
        <v/>
      </c>
      <c r="C33" s="31">
        <f>SUM(H33:Q33)</f>
        <v>0.0</v>
      </c>
      <c r="D33" s="31">
        <f>SUM(AB33:AK33)</f>
        <v>0.0</v>
      </c>
      <c r="E33" s="31">
        <f>C33-D33</f>
        <v>0.0</v>
      </c>
      <c r="F33" s="31">
        <f>SUM(R33:AA33)</f>
        <v>0.0</v>
      </c>
      <c r="G33" s="34" t="str">
        <f>IF(OR(A33="",$F$5&lt;=0),"",REPT("█",ROUND(20*F33/$F$5,0)))</f>
        <v/>
      </c>
      <c r="H33" s="31">
        <f>AL33+MIN(R32+AB33-AL33,MAX(0,ROUND(Долги!$D$19-SUM($AL33:$AU33),2)))</f>
        <v>0.0</v>
      </c>
      <c r="I33" s="31">
        <f>AM33+MIN(S32+AC33-AM33,MAX(0,ROUND(ROUND(Долги!$D$19-SUM($AL33:$AU33),2)-(SUM($H33:H33)-SUM($AL33:AL33)),2)))</f>
        <v>0.0</v>
      </c>
      <c r="J33" s="31">
        <f>AN33+MIN(T32+AD33-AN33,MAX(0,ROUND(ROUND(Долги!$D$19-SUM($AL33:$AU33),2)-(SUM($H33:I33)-SUM($AL33:AM33)),2)))</f>
        <v>0.0</v>
      </c>
      <c r="K33" s="31">
        <f>AO33+MIN(U32+AE33-AO33,MAX(0,ROUND(ROUND(Долги!$D$19-SUM($AL33:$AU33),2)-(SUM($H33:J33)-SUM($AL33:AN33)),2)))</f>
        <v>0.0</v>
      </c>
      <c r="L33" s="31">
        <f>AP33+MIN(V32+AF33-AP33,MAX(0,ROUND(ROUND(Долги!$D$19-SUM($AL33:$AU33),2)-(SUM($H33:K33)-SUM($AL33:AO33)),2)))</f>
        <v>0.0</v>
      </c>
      <c r="M33" s="31">
        <f>AQ33+MIN(W32+AG33-AQ33,MAX(0,ROUND(ROUND(Долги!$D$19-SUM($AL33:$AU33),2)-(SUM($H33:L33)-SUM($AL33:AP33)),2)))</f>
        <v>0.0</v>
      </c>
      <c r="N33" s="31">
        <f>AR33+MIN(X32+AH33-AR33,MAX(0,ROUND(ROUND(Долги!$D$19-SUM($AL33:$AU33),2)-(SUM($H33:M33)-SUM($AL33:AQ33)),2)))</f>
        <v>0.0</v>
      </c>
      <c r="O33" s="31">
        <f>AS33+MIN(Y32+AI33-AS33,MAX(0,ROUND(ROUND(Долги!$D$19-SUM($AL33:$AU33),2)-(SUM($H33:N33)-SUM($AL33:AR33)),2)))</f>
        <v>0.0</v>
      </c>
      <c r="P33" s="31">
        <f>AT33+MIN(Z32+AJ33-AT33,MAX(0,ROUND(ROUND(Долги!$D$19-SUM($AL33:$AU33),2)-(SUM($H33:O33)-SUM($AL33:AS33)),2)))</f>
        <v>0.0</v>
      </c>
      <c r="Q33" s="31">
        <f>AU33+MIN(AA32+AK33-AU33,MAX(0,ROUND(ROUND(Долги!$D$19-SUM($AL33:$AU33),2)-(SUM($H33:P33)-SUM($AL33:AT33)),2)))</f>
        <v>0.0</v>
      </c>
      <c r="R33" s="31">
        <f>IF(R32+AB33-H33&lt;=0.01,0,ROUND(R32+AB33-H33,2))</f>
        <v>0.0</v>
      </c>
      <c r="S33" s="31">
        <f>IF(S32+AC33-I33&lt;=0.01,0,ROUND(S32+AC33-I33,2))</f>
        <v>0.0</v>
      </c>
      <c r="T33" s="31">
        <f>IF(T32+AD33-J33&lt;=0.01,0,ROUND(T32+AD33-J33,2))</f>
        <v>0.0</v>
      </c>
      <c r="U33" s="31">
        <f>IF(U32+AE33-K33&lt;=0.01,0,ROUND(U32+AE33-K33,2))</f>
        <v>0.0</v>
      </c>
      <c r="V33" s="31">
        <f>IF(V32+AF33-L33&lt;=0.01,0,ROUND(V32+AF33-L33,2))</f>
        <v>0.0</v>
      </c>
      <c r="W33" s="31">
        <f>IF(W32+AG33-M33&lt;=0.01,0,ROUND(W32+AG33-M33,2))</f>
        <v>0.0</v>
      </c>
      <c r="X33" s="31">
        <f>IF(X32+AH33-N33&lt;=0.01,0,ROUND(X32+AH33-N33,2))</f>
        <v>0.0</v>
      </c>
      <c r="Y33" s="31">
        <f>IF(Y32+AI33-O33&lt;=0.01,0,ROUND(Y32+AI33-O33,2))</f>
        <v>0.0</v>
      </c>
      <c r="Z33" s="31">
        <f>IF(Z32+AJ33-P33&lt;=0.01,0,ROUND(Z32+AJ33-P33,2))</f>
        <v>0.0</v>
      </c>
      <c r="AA33" s="31">
        <f>IF(AA32+AK33-Q33&lt;=0.01,0,ROUND(AA32+AK33-Q33,2))</f>
        <v>0.0</v>
      </c>
      <c r="AB33" s="31">
        <f>ROUND(R32*AB$5/1200,2)</f>
        <v>0.0</v>
      </c>
      <c r="AC33" s="31">
        <f>ROUND(S32*AC$5/1200,2)</f>
        <v>0.0</v>
      </c>
      <c r="AD33" s="31">
        <f>ROUND(T32*AD$5/1200,2)</f>
        <v>0.0</v>
      </c>
      <c r="AE33" s="31">
        <f>ROUND(U32*AE$5/1200,2)</f>
        <v>0.0</v>
      </c>
      <c r="AF33" s="31">
        <f>ROUND(V32*AF$5/1200,2)</f>
        <v>0.0</v>
      </c>
      <c r="AG33" s="31">
        <f>ROUND(W32*AG$5/1200,2)</f>
        <v>0.0</v>
      </c>
      <c r="AH33" s="31">
        <f>ROUND(X32*AH$5/1200,2)</f>
        <v>0.0</v>
      </c>
      <c r="AI33" s="31">
        <f>ROUND(Y32*AI$5/1200,2)</f>
        <v>0.0</v>
      </c>
      <c r="AJ33" s="31">
        <f>ROUND(Z32*AJ$5/1200,2)</f>
        <v>0.0</v>
      </c>
      <c r="AK33" s="31">
        <f>ROUND(AA32*AK$5/1200,2)</f>
        <v>0.0</v>
      </c>
      <c r="AL33" s="31">
        <f>MIN(AL$5,R32+AB33)</f>
        <v>0.0</v>
      </c>
      <c r="AM33" s="31">
        <f>MIN(AM$5,S32+AC33)</f>
        <v>0.0</v>
      </c>
      <c r="AN33" s="31">
        <f>MIN(AN$5,T32+AD33)</f>
        <v>0.0</v>
      </c>
      <c r="AO33" s="31">
        <f>MIN(AO$5,U32+AE33)</f>
        <v>0.0</v>
      </c>
      <c r="AP33" s="31">
        <f>MIN(AP$5,V32+AF33)</f>
        <v>0.0</v>
      </c>
      <c r="AQ33" s="31">
        <f>MIN(AQ$5,W32+AG33)</f>
        <v>0.0</v>
      </c>
      <c r="AR33" s="31">
        <f>MIN(AR$5,X32+AH33)</f>
        <v>0.0</v>
      </c>
      <c r="AS33" s="31">
        <f>MIN(AS$5,Y32+AI33)</f>
        <v>0.0</v>
      </c>
      <c r="AT33" s="31">
        <f>MIN(AT$5,Z32+AJ33)</f>
        <v>0.0</v>
      </c>
      <c r="AU33" s="31">
        <f>MIN(AU$5,AA32+AK33)</f>
        <v>0.0</v>
      </c>
    </row>
    <row r="34">
      <c r="A34" s="25" t="str">
        <f>IF(F33&gt;0.005,29,"")</f>
        <v/>
      </c>
      <c r="B34" s="33" t="str">
        <f>IF(A34="","",EDATE(Долги!$D$5,28))</f>
        <v/>
      </c>
      <c r="C34" s="31">
        <f>SUM(H34:Q34)</f>
        <v>0.0</v>
      </c>
      <c r="D34" s="31">
        <f>SUM(AB34:AK34)</f>
        <v>0.0</v>
      </c>
      <c r="E34" s="31">
        <f>C34-D34</f>
        <v>0.0</v>
      </c>
      <c r="F34" s="31">
        <f>SUM(R34:AA34)</f>
        <v>0.0</v>
      </c>
      <c r="G34" s="34" t="str">
        <f>IF(OR(A34="",$F$5&lt;=0),"",REPT("█",ROUND(20*F34/$F$5,0)))</f>
        <v/>
      </c>
      <c r="H34" s="31">
        <f>AL34+MIN(R33+AB34-AL34,MAX(0,ROUND(Долги!$D$19-SUM($AL34:$AU34),2)))</f>
        <v>0.0</v>
      </c>
      <c r="I34" s="31">
        <f>AM34+MIN(S33+AC34-AM34,MAX(0,ROUND(ROUND(Долги!$D$19-SUM($AL34:$AU34),2)-(SUM($H34:H34)-SUM($AL34:AL34)),2)))</f>
        <v>0.0</v>
      </c>
      <c r="J34" s="31">
        <f>AN34+MIN(T33+AD34-AN34,MAX(0,ROUND(ROUND(Долги!$D$19-SUM($AL34:$AU34),2)-(SUM($H34:I34)-SUM($AL34:AM34)),2)))</f>
        <v>0.0</v>
      </c>
      <c r="K34" s="31">
        <f>AO34+MIN(U33+AE34-AO34,MAX(0,ROUND(ROUND(Долги!$D$19-SUM($AL34:$AU34),2)-(SUM($H34:J34)-SUM($AL34:AN34)),2)))</f>
        <v>0.0</v>
      </c>
      <c r="L34" s="31">
        <f>AP34+MIN(V33+AF34-AP34,MAX(0,ROUND(ROUND(Долги!$D$19-SUM($AL34:$AU34),2)-(SUM($H34:K34)-SUM($AL34:AO34)),2)))</f>
        <v>0.0</v>
      </c>
      <c r="M34" s="31">
        <f>AQ34+MIN(W33+AG34-AQ34,MAX(0,ROUND(ROUND(Долги!$D$19-SUM($AL34:$AU34),2)-(SUM($H34:L34)-SUM($AL34:AP34)),2)))</f>
        <v>0.0</v>
      </c>
      <c r="N34" s="31">
        <f>AR34+MIN(X33+AH34-AR34,MAX(0,ROUND(ROUND(Долги!$D$19-SUM($AL34:$AU34),2)-(SUM($H34:M34)-SUM($AL34:AQ34)),2)))</f>
        <v>0.0</v>
      </c>
      <c r="O34" s="31">
        <f>AS34+MIN(Y33+AI34-AS34,MAX(0,ROUND(ROUND(Долги!$D$19-SUM($AL34:$AU34),2)-(SUM($H34:N34)-SUM($AL34:AR34)),2)))</f>
        <v>0.0</v>
      </c>
      <c r="P34" s="31">
        <f>AT34+MIN(Z33+AJ34-AT34,MAX(0,ROUND(ROUND(Долги!$D$19-SUM($AL34:$AU34),2)-(SUM($H34:O34)-SUM($AL34:AS34)),2)))</f>
        <v>0.0</v>
      </c>
      <c r="Q34" s="31">
        <f>AU34+MIN(AA33+AK34-AU34,MAX(0,ROUND(ROUND(Долги!$D$19-SUM($AL34:$AU34),2)-(SUM($H34:P34)-SUM($AL34:AT34)),2)))</f>
        <v>0.0</v>
      </c>
      <c r="R34" s="31">
        <f>IF(R33+AB34-H34&lt;=0.01,0,ROUND(R33+AB34-H34,2))</f>
        <v>0.0</v>
      </c>
      <c r="S34" s="31">
        <f>IF(S33+AC34-I34&lt;=0.01,0,ROUND(S33+AC34-I34,2))</f>
        <v>0.0</v>
      </c>
      <c r="T34" s="31">
        <f>IF(T33+AD34-J34&lt;=0.01,0,ROUND(T33+AD34-J34,2))</f>
        <v>0.0</v>
      </c>
      <c r="U34" s="31">
        <f>IF(U33+AE34-K34&lt;=0.01,0,ROUND(U33+AE34-K34,2))</f>
        <v>0.0</v>
      </c>
      <c r="V34" s="31">
        <f>IF(V33+AF34-L34&lt;=0.01,0,ROUND(V33+AF34-L34,2))</f>
        <v>0.0</v>
      </c>
      <c r="W34" s="31">
        <f>IF(W33+AG34-M34&lt;=0.01,0,ROUND(W33+AG34-M34,2))</f>
        <v>0.0</v>
      </c>
      <c r="X34" s="31">
        <f>IF(X33+AH34-N34&lt;=0.01,0,ROUND(X33+AH34-N34,2))</f>
        <v>0.0</v>
      </c>
      <c r="Y34" s="31">
        <f>IF(Y33+AI34-O34&lt;=0.01,0,ROUND(Y33+AI34-O34,2))</f>
        <v>0.0</v>
      </c>
      <c r="Z34" s="31">
        <f>IF(Z33+AJ34-P34&lt;=0.01,0,ROUND(Z33+AJ34-P34,2))</f>
        <v>0.0</v>
      </c>
      <c r="AA34" s="31">
        <f>IF(AA33+AK34-Q34&lt;=0.01,0,ROUND(AA33+AK34-Q34,2))</f>
        <v>0.0</v>
      </c>
      <c r="AB34" s="31">
        <f>ROUND(R33*AB$5/1200,2)</f>
        <v>0.0</v>
      </c>
      <c r="AC34" s="31">
        <f>ROUND(S33*AC$5/1200,2)</f>
        <v>0.0</v>
      </c>
      <c r="AD34" s="31">
        <f>ROUND(T33*AD$5/1200,2)</f>
        <v>0.0</v>
      </c>
      <c r="AE34" s="31">
        <f>ROUND(U33*AE$5/1200,2)</f>
        <v>0.0</v>
      </c>
      <c r="AF34" s="31">
        <f>ROUND(V33*AF$5/1200,2)</f>
        <v>0.0</v>
      </c>
      <c r="AG34" s="31">
        <f>ROUND(W33*AG$5/1200,2)</f>
        <v>0.0</v>
      </c>
      <c r="AH34" s="31">
        <f>ROUND(X33*AH$5/1200,2)</f>
        <v>0.0</v>
      </c>
      <c r="AI34" s="31">
        <f>ROUND(Y33*AI$5/1200,2)</f>
        <v>0.0</v>
      </c>
      <c r="AJ34" s="31">
        <f>ROUND(Z33*AJ$5/1200,2)</f>
        <v>0.0</v>
      </c>
      <c r="AK34" s="31">
        <f>ROUND(AA33*AK$5/1200,2)</f>
        <v>0.0</v>
      </c>
      <c r="AL34" s="31">
        <f>MIN(AL$5,R33+AB34)</f>
        <v>0.0</v>
      </c>
      <c r="AM34" s="31">
        <f>MIN(AM$5,S33+AC34)</f>
        <v>0.0</v>
      </c>
      <c r="AN34" s="31">
        <f>MIN(AN$5,T33+AD34)</f>
        <v>0.0</v>
      </c>
      <c r="AO34" s="31">
        <f>MIN(AO$5,U33+AE34)</f>
        <v>0.0</v>
      </c>
      <c r="AP34" s="31">
        <f>MIN(AP$5,V33+AF34)</f>
        <v>0.0</v>
      </c>
      <c r="AQ34" s="31">
        <f>MIN(AQ$5,W33+AG34)</f>
        <v>0.0</v>
      </c>
      <c r="AR34" s="31">
        <f>MIN(AR$5,X33+AH34)</f>
        <v>0.0</v>
      </c>
      <c r="AS34" s="31">
        <f>MIN(AS$5,Y33+AI34)</f>
        <v>0.0</v>
      </c>
      <c r="AT34" s="31">
        <f>MIN(AT$5,Z33+AJ34)</f>
        <v>0.0</v>
      </c>
      <c r="AU34" s="31">
        <f>MIN(AU$5,AA33+AK34)</f>
        <v>0.0</v>
      </c>
    </row>
    <row r="35">
      <c r="A35" s="25" t="str">
        <f>IF(F34&gt;0.005,30,"")</f>
        <v/>
      </c>
      <c r="B35" s="33" t="str">
        <f>IF(A35="","",EDATE(Долги!$D$5,29))</f>
        <v/>
      </c>
      <c r="C35" s="31">
        <f>SUM(H35:Q35)</f>
        <v>0.0</v>
      </c>
      <c r="D35" s="31">
        <f>SUM(AB35:AK35)</f>
        <v>0.0</v>
      </c>
      <c r="E35" s="31">
        <f>C35-D35</f>
        <v>0.0</v>
      </c>
      <c r="F35" s="31">
        <f>SUM(R35:AA35)</f>
        <v>0.0</v>
      </c>
      <c r="G35" s="34" t="str">
        <f>IF(OR(A35="",$F$5&lt;=0),"",REPT("█",ROUND(20*F35/$F$5,0)))</f>
        <v/>
      </c>
      <c r="H35" s="31">
        <f>AL35+MIN(R34+AB35-AL35,MAX(0,ROUND(Долги!$D$19-SUM($AL35:$AU35),2)))</f>
        <v>0.0</v>
      </c>
      <c r="I35" s="31">
        <f>AM35+MIN(S34+AC35-AM35,MAX(0,ROUND(ROUND(Долги!$D$19-SUM($AL35:$AU35),2)-(SUM($H35:H35)-SUM($AL35:AL35)),2)))</f>
        <v>0.0</v>
      </c>
      <c r="J35" s="31">
        <f>AN35+MIN(T34+AD35-AN35,MAX(0,ROUND(ROUND(Долги!$D$19-SUM($AL35:$AU35),2)-(SUM($H35:I35)-SUM($AL35:AM35)),2)))</f>
        <v>0.0</v>
      </c>
      <c r="K35" s="31">
        <f>AO35+MIN(U34+AE35-AO35,MAX(0,ROUND(ROUND(Долги!$D$19-SUM($AL35:$AU35),2)-(SUM($H35:J35)-SUM($AL35:AN35)),2)))</f>
        <v>0.0</v>
      </c>
      <c r="L35" s="31">
        <f>AP35+MIN(V34+AF35-AP35,MAX(0,ROUND(ROUND(Долги!$D$19-SUM($AL35:$AU35),2)-(SUM($H35:K35)-SUM($AL35:AO35)),2)))</f>
        <v>0.0</v>
      </c>
      <c r="M35" s="31">
        <f>AQ35+MIN(W34+AG35-AQ35,MAX(0,ROUND(ROUND(Долги!$D$19-SUM($AL35:$AU35),2)-(SUM($H35:L35)-SUM($AL35:AP35)),2)))</f>
        <v>0.0</v>
      </c>
      <c r="N35" s="31">
        <f>AR35+MIN(X34+AH35-AR35,MAX(0,ROUND(ROUND(Долги!$D$19-SUM($AL35:$AU35),2)-(SUM($H35:M35)-SUM($AL35:AQ35)),2)))</f>
        <v>0.0</v>
      </c>
      <c r="O35" s="31">
        <f>AS35+MIN(Y34+AI35-AS35,MAX(0,ROUND(ROUND(Долги!$D$19-SUM($AL35:$AU35),2)-(SUM($H35:N35)-SUM($AL35:AR35)),2)))</f>
        <v>0.0</v>
      </c>
      <c r="P35" s="31">
        <f>AT35+MIN(Z34+AJ35-AT35,MAX(0,ROUND(ROUND(Долги!$D$19-SUM($AL35:$AU35),2)-(SUM($H35:O35)-SUM($AL35:AS35)),2)))</f>
        <v>0.0</v>
      </c>
      <c r="Q35" s="31">
        <f>AU35+MIN(AA34+AK35-AU35,MAX(0,ROUND(ROUND(Долги!$D$19-SUM($AL35:$AU35),2)-(SUM($H35:P35)-SUM($AL35:AT35)),2)))</f>
        <v>0.0</v>
      </c>
      <c r="R35" s="31">
        <f>IF(R34+AB35-H35&lt;=0.01,0,ROUND(R34+AB35-H35,2))</f>
        <v>0.0</v>
      </c>
      <c r="S35" s="31">
        <f>IF(S34+AC35-I35&lt;=0.01,0,ROUND(S34+AC35-I35,2))</f>
        <v>0.0</v>
      </c>
      <c r="T35" s="31">
        <f>IF(T34+AD35-J35&lt;=0.01,0,ROUND(T34+AD35-J35,2))</f>
        <v>0.0</v>
      </c>
      <c r="U35" s="31">
        <f>IF(U34+AE35-K35&lt;=0.01,0,ROUND(U34+AE35-K35,2))</f>
        <v>0.0</v>
      </c>
      <c r="V35" s="31">
        <f>IF(V34+AF35-L35&lt;=0.01,0,ROUND(V34+AF35-L35,2))</f>
        <v>0.0</v>
      </c>
      <c r="W35" s="31">
        <f>IF(W34+AG35-M35&lt;=0.01,0,ROUND(W34+AG35-M35,2))</f>
        <v>0.0</v>
      </c>
      <c r="X35" s="31">
        <f>IF(X34+AH35-N35&lt;=0.01,0,ROUND(X34+AH35-N35,2))</f>
        <v>0.0</v>
      </c>
      <c r="Y35" s="31">
        <f>IF(Y34+AI35-O35&lt;=0.01,0,ROUND(Y34+AI35-O35,2))</f>
        <v>0.0</v>
      </c>
      <c r="Z35" s="31">
        <f>IF(Z34+AJ35-P35&lt;=0.01,0,ROUND(Z34+AJ35-P35,2))</f>
        <v>0.0</v>
      </c>
      <c r="AA35" s="31">
        <f>IF(AA34+AK35-Q35&lt;=0.01,0,ROUND(AA34+AK35-Q35,2))</f>
        <v>0.0</v>
      </c>
      <c r="AB35" s="31">
        <f>ROUND(R34*AB$5/1200,2)</f>
        <v>0.0</v>
      </c>
      <c r="AC35" s="31">
        <f>ROUND(S34*AC$5/1200,2)</f>
        <v>0.0</v>
      </c>
      <c r="AD35" s="31">
        <f>ROUND(T34*AD$5/1200,2)</f>
        <v>0.0</v>
      </c>
      <c r="AE35" s="31">
        <f>ROUND(U34*AE$5/1200,2)</f>
        <v>0.0</v>
      </c>
      <c r="AF35" s="31">
        <f>ROUND(V34*AF$5/1200,2)</f>
        <v>0.0</v>
      </c>
      <c r="AG35" s="31">
        <f>ROUND(W34*AG$5/1200,2)</f>
        <v>0.0</v>
      </c>
      <c r="AH35" s="31">
        <f>ROUND(X34*AH$5/1200,2)</f>
        <v>0.0</v>
      </c>
      <c r="AI35" s="31">
        <f>ROUND(Y34*AI$5/1200,2)</f>
        <v>0.0</v>
      </c>
      <c r="AJ35" s="31">
        <f>ROUND(Z34*AJ$5/1200,2)</f>
        <v>0.0</v>
      </c>
      <c r="AK35" s="31">
        <f>ROUND(AA34*AK$5/1200,2)</f>
        <v>0.0</v>
      </c>
      <c r="AL35" s="31">
        <f>MIN(AL$5,R34+AB35)</f>
        <v>0.0</v>
      </c>
      <c r="AM35" s="31">
        <f>MIN(AM$5,S34+AC35)</f>
        <v>0.0</v>
      </c>
      <c r="AN35" s="31">
        <f>MIN(AN$5,T34+AD35)</f>
        <v>0.0</v>
      </c>
      <c r="AO35" s="31">
        <f>MIN(AO$5,U34+AE35)</f>
        <v>0.0</v>
      </c>
      <c r="AP35" s="31">
        <f>MIN(AP$5,V34+AF35)</f>
        <v>0.0</v>
      </c>
      <c r="AQ35" s="31">
        <f>MIN(AQ$5,W34+AG35)</f>
        <v>0.0</v>
      </c>
      <c r="AR35" s="31">
        <f>MIN(AR$5,X34+AH35)</f>
        <v>0.0</v>
      </c>
      <c r="AS35" s="31">
        <f>MIN(AS$5,Y34+AI35)</f>
        <v>0.0</v>
      </c>
      <c r="AT35" s="31">
        <f>MIN(AT$5,Z34+AJ35)</f>
        <v>0.0</v>
      </c>
      <c r="AU35" s="31">
        <f>MIN(AU$5,AA34+AK35)</f>
        <v>0.0</v>
      </c>
    </row>
    <row r="36">
      <c r="A36" s="25" t="str">
        <f>IF(F35&gt;0.005,31,"")</f>
        <v/>
      </c>
      <c r="B36" s="33" t="str">
        <f>IF(A36="","",EDATE(Долги!$D$5,30))</f>
        <v/>
      </c>
      <c r="C36" s="31">
        <f>SUM(H36:Q36)</f>
        <v>0.0</v>
      </c>
      <c r="D36" s="31">
        <f>SUM(AB36:AK36)</f>
        <v>0.0</v>
      </c>
      <c r="E36" s="31">
        <f>C36-D36</f>
        <v>0.0</v>
      </c>
      <c r="F36" s="31">
        <f>SUM(R36:AA36)</f>
        <v>0.0</v>
      </c>
      <c r="G36" s="34" t="str">
        <f>IF(OR(A36="",$F$5&lt;=0),"",REPT("█",ROUND(20*F36/$F$5,0)))</f>
        <v/>
      </c>
      <c r="H36" s="31">
        <f>AL36+MIN(R35+AB36-AL36,MAX(0,ROUND(Долги!$D$19-SUM($AL36:$AU36),2)))</f>
        <v>0.0</v>
      </c>
      <c r="I36" s="31">
        <f>AM36+MIN(S35+AC36-AM36,MAX(0,ROUND(ROUND(Долги!$D$19-SUM($AL36:$AU36),2)-(SUM($H36:H36)-SUM($AL36:AL36)),2)))</f>
        <v>0.0</v>
      </c>
      <c r="J36" s="31">
        <f>AN36+MIN(T35+AD36-AN36,MAX(0,ROUND(ROUND(Долги!$D$19-SUM($AL36:$AU36),2)-(SUM($H36:I36)-SUM($AL36:AM36)),2)))</f>
        <v>0.0</v>
      </c>
      <c r="K36" s="31">
        <f>AO36+MIN(U35+AE36-AO36,MAX(0,ROUND(ROUND(Долги!$D$19-SUM($AL36:$AU36),2)-(SUM($H36:J36)-SUM($AL36:AN36)),2)))</f>
        <v>0.0</v>
      </c>
      <c r="L36" s="31">
        <f>AP36+MIN(V35+AF36-AP36,MAX(0,ROUND(ROUND(Долги!$D$19-SUM($AL36:$AU36),2)-(SUM($H36:K36)-SUM($AL36:AO36)),2)))</f>
        <v>0.0</v>
      </c>
      <c r="M36" s="31">
        <f>AQ36+MIN(W35+AG36-AQ36,MAX(0,ROUND(ROUND(Долги!$D$19-SUM($AL36:$AU36),2)-(SUM($H36:L36)-SUM($AL36:AP36)),2)))</f>
        <v>0.0</v>
      </c>
      <c r="N36" s="31">
        <f>AR36+MIN(X35+AH36-AR36,MAX(0,ROUND(ROUND(Долги!$D$19-SUM($AL36:$AU36),2)-(SUM($H36:M36)-SUM($AL36:AQ36)),2)))</f>
        <v>0.0</v>
      </c>
      <c r="O36" s="31">
        <f>AS36+MIN(Y35+AI36-AS36,MAX(0,ROUND(ROUND(Долги!$D$19-SUM($AL36:$AU36),2)-(SUM($H36:N36)-SUM($AL36:AR36)),2)))</f>
        <v>0.0</v>
      </c>
      <c r="P36" s="31">
        <f>AT36+MIN(Z35+AJ36-AT36,MAX(0,ROUND(ROUND(Долги!$D$19-SUM($AL36:$AU36),2)-(SUM($H36:O36)-SUM($AL36:AS36)),2)))</f>
        <v>0.0</v>
      </c>
      <c r="Q36" s="31">
        <f>AU36+MIN(AA35+AK36-AU36,MAX(0,ROUND(ROUND(Долги!$D$19-SUM($AL36:$AU36),2)-(SUM($H36:P36)-SUM($AL36:AT36)),2)))</f>
        <v>0.0</v>
      </c>
      <c r="R36" s="31">
        <f>IF(R35+AB36-H36&lt;=0.01,0,ROUND(R35+AB36-H36,2))</f>
        <v>0.0</v>
      </c>
      <c r="S36" s="31">
        <f>IF(S35+AC36-I36&lt;=0.01,0,ROUND(S35+AC36-I36,2))</f>
        <v>0.0</v>
      </c>
      <c r="T36" s="31">
        <f>IF(T35+AD36-J36&lt;=0.01,0,ROUND(T35+AD36-J36,2))</f>
        <v>0.0</v>
      </c>
      <c r="U36" s="31">
        <f>IF(U35+AE36-K36&lt;=0.01,0,ROUND(U35+AE36-K36,2))</f>
        <v>0.0</v>
      </c>
      <c r="V36" s="31">
        <f>IF(V35+AF36-L36&lt;=0.01,0,ROUND(V35+AF36-L36,2))</f>
        <v>0.0</v>
      </c>
      <c r="W36" s="31">
        <f>IF(W35+AG36-M36&lt;=0.01,0,ROUND(W35+AG36-M36,2))</f>
        <v>0.0</v>
      </c>
      <c r="X36" s="31">
        <f>IF(X35+AH36-N36&lt;=0.01,0,ROUND(X35+AH36-N36,2))</f>
        <v>0.0</v>
      </c>
      <c r="Y36" s="31">
        <f>IF(Y35+AI36-O36&lt;=0.01,0,ROUND(Y35+AI36-O36,2))</f>
        <v>0.0</v>
      </c>
      <c r="Z36" s="31">
        <f>IF(Z35+AJ36-P36&lt;=0.01,0,ROUND(Z35+AJ36-P36,2))</f>
        <v>0.0</v>
      </c>
      <c r="AA36" s="31">
        <f>IF(AA35+AK36-Q36&lt;=0.01,0,ROUND(AA35+AK36-Q36,2))</f>
        <v>0.0</v>
      </c>
      <c r="AB36" s="31">
        <f>ROUND(R35*AB$5/1200,2)</f>
        <v>0.0</v>
      </c>
      <c r="AC36" s="31">
        <f>ROUND(S35*AC$5/1200,2)</f>
        <v>0.0</v>
      </c>
      <c r="AD36" s="31">
        <f>ROUND(T35*AD$5/1200,2)</f>
        <v>0.0</v>
      </c>
      <c r="AE36" s="31">
        <f>ROUND(U35*AE$5/1200,2)</f>
        <v>0.0</v>
      </c>
      <c r="AF36" s="31">
        <f>ROUND(V35*AF$5/1200,2)</f>
        <v>0.0</v>
      </c>
      <c r="AG36" s="31">
        <f>ROUND(W35*AG$5/1200,2)</f>
        <v>0.0</v>
      </c>
      <c r="AH36" s="31">
        <f>ROUND(X35*AH$5/1200,2)</f>
        <v>0.0</v>
      </c>
      <c r="AI36" s="31">
        <f>ROUND(Y35*AI$5/1200,2)</f>
        <v>0.0</v>
      </c>
      <c r="AJ36" s="31">
        <f>ROUND(Z35*AJ$5/1200,2)</f>
        <v>0.0</v>
      </c>
      <c r="AK36" s="31">
        <f>ROUND(AA35*AK$5/1200,2)</f>
        <v>0.0</v>
      </c>
      <c r="AL36" s="31">
        <f>MIN(AL$5,R35+AB36)</f>
        <v>0.0</v>
      </c>
      <c r="AM36" s="31">
        <f>MIN(AM$5,S35+AC36)</f>
        <v>0.0</v>
      </c>
      <c r="AN36" s="31">
        <f>MIN(AN$5,T35+AD36)</f>
        <v>0.0</v>
      </c>
      <c r="AO36" s="31">
        <f>MIN(AO$5,U35+AE36)</f>
        <v>0.0</v>
      </c>
      <c r="AP36" s="31">
        <f>MIN(AP$5,V35+AF36)</f>
        <v>0.0</v>
      </c>
      <c r="AQ36" s="31">
        <f>MIN(AQ$5,W35+AG36)</f>
        <v>0.0</v>
      </c>
      <c r="AR36" s="31">
        <f>MIN(AR$5,X35+AH36)</f>
        <v>0.0</v>
      </c>
      <c r="AS36" s="31">
        <f>MIN(AS$5,Y35+AI36)</f>
        <v>0.0</v>
      </c>
      <c r="AT36" s="31">
        <f>MIN(AT$5,Z35+AJ36)</f>
        <v>0.0</v>
      </c>
      <c r="AU36" s="31">
        <f>MIN(AU$5,AA35+AK36)</f>
        <v>0.0</v>
      </c>
    </row>
    <row r="37">
      <c r="A37" s="25" t="str">
        <f>IF(F36&gt;0.005,32,"")</f>
        <v/>
      </c>
      <c r="B37" s="33" t="str">
        <f>IF(A37="","",EDATE(Долги!$D$5,31))</f>
        <v/>
      </c>
      <c r="C37" s="31">
        <f>SUM(H37:Q37)</f>
        <v>0.0</v>
      </c>
      <c r="D37" s="31">
        <f>SUM(AB37:AK37)</f>
        <v>0.0</v>
      </c>
      <c r="E37" s="31">
        <f>C37-D37</f>
        <v>0.0</v>
      </c>
      <c r="F37" s="31">
        <f>SUM(R37:AA37)</f>
        <v>0.0</v>
      </c>
      <c r="G37" s="34" t="str">
        <f>IF(OR(A37="",$F$5&lt;=0),"",REPT("█",ROUND(20*F37/$F$5,0)))</f>
        <v/>
      </c>
      <c r="H37" s="31">
        <f>AL37+MIN(R36+AB37-AL37,MAX(0,ROUND(Долги!$D$19-SUM($AL37:$AU37),2)))</f>
        <v>0.0</v>
      </c>
      <c r="I37" s="31">
        <f>AM37+MIN(S36+AC37-AM37,MAX(0,ROUND(ROUND(Долги!$D$19-SUM($AL37:$AU37),2)-(SUM($H37:H37)-SUM($AL37:AL37)),2)))</f>
        <v>0.0</v>
      </c>
      <c r="J37" s="31">
        <f>AN37+MIN(T36+AD37-AN37,MAX(0,ROUND(ROUND(Долги!$D$19-SUM($AL37:$AU37),2)-(SUM($H37:I37)-SUM($AL37:AM37)),2)))</f>
        <v>0.0</v>
      </c>
      <c r="K37" s="31">
        <f>AO37+MIN(U36+AE37-AO37,MAX(0,ROUND(ROUND(Долги!$D$19-SUM($AL37:$AU37),2)-(SUM($H37:J37)-SUM($AL37:AN37)),2)))</f>
        <v>0.0</v>
      </c>
      <c r="L37" s="31">
        <f>AP37+MIN(V36+AF37-AP37,MAX(0,ROUND(ROUND(Долги!$D$19-SUM($AL37:$AU37),2)-(SUM($H37:K37)-SUM($AL37:AO37)),2)))</f>
        <v>0.0</v>
      </c>
      <c r="M37" s="31">
        <f>AQ37+MIN(W36+AG37-AQ37,MAX(0,ROUND(ROUND(Долги!$D$19-SUM($AL37:$AU37),2)-(SUM($H37:L37)-SUM($AL37:AP37)),2)))</f>
        <v>0.0</v>
      </c>
      <c r="N37" s="31">
        <f>AR37+MIN(X36+AH37-AR37,MAX(0,ROUND(ROUND(Долги!$D$19-SUM($AL37:$AU37),2)-(SUM($H37:M37)-SUM($AL37:AQ37)),2)))</f>
        <v>0.0</v>
      </c>
      <c r="O37" s="31">
        <f>AS37+MIN(Y36+AI37-AS37,MAX(0,ROUND(ROUND(Долги!$D$19-SUM($AL37:$AU37),2)-(SUM($H37:N37)-SUM($AL37:AR37)),2)))</f>
        <v>0.0</v>
      </c>
      <c r="P37" s="31">
        <f>AT37+MIN(Z36+AJ37-AT37,MAX(0,ROUND(ROUND(Долги!$D$19-SUM($AL37:$AU37),2)-(SUM($H37:O37)-SUM($AL37:AS37)),2)))</f>
        <v>0.0</v>
      </c>
      <c r="Q37" s="31">
        <f>AU37+MIN(AA36+AK37-AU37,MAX(0,ROUND(ROUND(Долги!$D$19-SUM($AL37:$AU37),2)-(SUM($H37:P37)-SUM($AL37:AT37)),2)))</f>
        <v>0.0</v>
      </c>
      <c r="R37" s="31">
        <f>IF(R36+AB37-H37&lt;=0.01,0,ROUND(R36+AB37-H37,2))</f>
        <v>0.0</v>
      </c>
      <c r="S37" s="31">
        <f>IF(S36+AC37-I37&lt;=0.01,0,ROUND(S36+AC37-I37,2))</f>
        <v>0.0</v>
      </c>
      <c r="T37" s="31">
        <f>IF(T36+AD37-J37&lt;=0.01,0,ROUND(T36+AD37-J37,2))</f>
        <v>0.0</v>
      </c>
      <c r="U37" s="31">
        <f>IF(U36+AE37-K37&lt;=0.01,0,ROUND(U36+AE37-K37,2))</f>
        <v>0.0</v>
      </c>
      <c r="V37" s="31">
        <f>IF(V36+AF37-L37&lt;=0.01,0,ROUND(V36+AF37-L37,2))</f>
        <v>0.0</v>
      </c>
      <c r="W37" s="31">
        <f>IF(W36+AG37-M37&lt;=0.01,0,ROUND(W36+AG37-M37,2))</f>
        <v>0.0</v>
      </c>
      <c r="X37" s="31">
        <f>IF(X36+AH37-N37&lt;=0.01,0,ROUND(X36+AH37-N37,2))</f>
        <v>0.0</v>
      </c>
      <c r="Y37" s="31">
        <f>IF(Y36+AI37-O37&lt;=0.01,0,ROUND(Y36+AI37-O37,2))</f>
        <v>0.0</v>
      </c>
      <c r="Z37" s="31">
        <f>IF(Z36+AJ37-P37&lt;=0.01,0,ROUND(Z36+AJ37-P37,2))</f>
        <v>0.0</v>
      </c>
      <c r="AA37" s="31">
        <f>IF(AA36+AK37-Q37&lt;=0.01,0,ROUND(AA36+AK37-Q37,2))</f>
        <v>0.0</v>
      </c>
      <c r="AB37" s="31">
        <f>ROUND(R36*AB$5/1200,2)</f>
        <v>0.0</v>
      </c>
      <c r="AC37" s="31">
        <f>ROUND(S36*AC$5/1200,2)</f>
        <v>0.0</v>
      </c>
      <c r="AD37" s="31">
        <f>ROUND(T36*AD$5/1200,2)</f>
        <v>0.0</v>
      </c>
      <c r="AE37" s="31">
        <f>ROUND(U36*AE$5/1200,2)</f>
        <v>0.0</v>
      </c>
      <c r="AF37" s="31">
        <f>ROUND(V36*AF$5/1200,2)</f>
        <v>0.0</v>
      </c>
      <c r="AG37" s="31">
        <f>ROUND(W36*AG$5/1200,2)</f>
        <v>0.0</v>
      </c>
      <c r="AH37" s="31">
        <f>ROUND(X36*AH$5/1200,2)</f>
        <v>0.0</v>
      </c>
      <c r="AI37" s="31">
        <f>ROUND(Y36*AI$5/1200,2)</f>
        <v>0.0</v>
      </c>
      <c r="AJ37" s="31">
        <f>ROUND(Z36*AJ$5/1200,2)</f>
        <v>0.0</v>
      </c>
      <c r="AK37" s="31">
        <f>ROUND(AA36*AK$5/1200,2)</f>
        <v>0.0</v>
      </c>
      <c r="AL37" s="31">
        <f>MIN(AL$5,R36+AB37)</f>
        <v>0.0</v>
      </c>
      <c r="AM37" s="31">
        <f>MIN(AM$5,S36+AC37)</f>
        <v>0.0</v>
      </c>
      <c r="AN37" s="31">
        <f>MIN(AN$5,T36+AD37)</f>
        <v>0.0</v>
      </c>
      <c r="AO37" s="31">
        <f>MIN(AO$5,U36+AE37)</f>
        <v>0.0</v>
      </c>
      <c r="AP37" s="31">
        <f>MIN(AP$5,V36+AF37)</f>
        <v>0.0</v>
      </c>
      <c r="AQ37" s="31">
        <f>MIN(AQ$5,W36+AG37)</f>
        <v>0.0</v>
      </c>
      <c r="AR37" s="31">
        <f>MIN(AR$5,X36+AH37)</f>
        <v>0.0</v>
      </c>
      <c r="AS37" s="31">
        <f>MIN(AS$5,Y36+AI37)</f>
        <v>0.0</v>
      </c>
      <c r="AT37" s="31">
        <f>MIN(AT$5,Z36+AJ37)</f>
        <v>0.0</v>
      </c>
      <c r="AU37" s="31">
        <f>MIN(AU$5,AA36+AK37)</f>
        <v>0.0</v>
      </c>
    </row>
    <row r="38">
      <c r="A38" s="25" t="str">
        <f>IF(F37&gt;0.005,33,"")</f>
        <v/>
      </c>
      <c r="B38" s="33" t="str">
        <f>IF(A38="","",EDATE(Долги!$D$5,32))</f>
        <v/>
      </c>
      <c r="C38" s="31">
        <f>SUM(H38:Q38)</f>
        <v>0.0</v>
      </c>
      <c r="D38" s="31">
        <f>SUM(AB38:AK38)</f>
        <v>0.0</v>
      </c>
      <c r="E38" s="31">
        <f>C38-D38</f>
        <v>0.0</v>
      </c>
      <c r="F38" s="31">
        <f>SUM(R38:AA38)</f>
        <v>0.0</v>
      </c>
      <c r="G38" s="34" t="str">
        <f>IF(OR(A38="",$F$5&lt;=0),"",REPT("█",ROUND(20*F38/$F$5,0)))</f>
        <v/>
      </c>
      <c r="H38" s="31">
        <f>AL38+MIN(R37+AB38-AL38,MAX(0,ROUND(Долги!$D$19-SUM($AL38:$AU38),2)))</f>
        <v>0.0</v>
      </c>
      <c r="I38" s="31">
        <f>AM38+MIN(S37+AC38-AM38,MAX(0,ROUND(ROUND(Долги!$D$19-SUM($AL38:$AU38),2)-(SUM($H38:H38)-SUM($AL38:AL38)),2)))</f>
        <v>0.0</v>
      </c>
      <c r="J38" s="31">
        <f>AN38+MIN(T37+AD38-AN38,MAX(0,ROUND(ROUND(Долги!$D$19-SUM($AL38:$AU38),2)-(SUM($H38:I38)-SUM($AL38:AM38)),2)))</f>
        <v>0.0</v>
      </c>
      <c r="K38" s="31">
        <f>AO38+MIN(U37+AE38-AO38,MAX(0,ROUND(ROUND(Долги!$D$19-SUM($AL38:$AU38),2)-(SUM($H38:J38)-SUM($AL38:AN38)),2)))</f>
        <v>0.0</v>
      </c>
      <c r="L38" s="31">
        <f>AP38+MIN(V37+AF38-AP38,MAX(0,ROUND(ROUND(Долги!$D$19-SUM($AL38:$AU38),2)-(SUM($H38:K38)-SUM($AL38:AO38)),2)))</f>
        <v>0.0</v>
      </c>
      <c r="M38" s="31">
        <f>AQ38+MIN(W37+AG38-AQ38,MAX(0,ROUND(ROUND(Долги!$D$19-SUM($AL38:$AU38),2)-(SUM($H38:L38)-SUM($AL38:AP38)),2)))</f>
        <v>0.0</v>
      </c>
      <c r="N38" s="31">
        <f>AR38+MIN(X37+AH38-AR38,MAX(0,ROUND(ROUND(Долги!$D$19-SUM($AL38:$AU38),2)-(SUM($H38:M38)-SUM($AL38:AQ38)),2)))</f>
        <v>0.0</v>
      </c>
      <c r="O38" s="31">
        <f>AS38+MIN(Y37+AI38-AS38,MAX(0,ROUND(ROUND(Долги!$D$19-SUM($AL38:$AU38),2)-(SUM($H38:N38)-SUM($AL38:AR38)),2)))</f>
        <v>0.0</v>
      </c>
      <c r="P38" s="31">
        <f>AT38+MIN(Z37+AJ38-AT38,MAX(0,ROUND(ROUND(Долги!$D$19-SUM($AL38:$AU38),2)-(SUM($H38:O38)-SUM($AL38:AS38)),2)))</f>
        <v>0.0</v>
      </c>
      <c r="Q38" s="31">
        <f>AU38+MIN(AA37+AK38-AU38,MAX(0,ROUND(ROUND(Долги!$D$19-SUM($AL38:$AU38),2)-(SUM($H38:P38)-SUM($AL38:AT38)),2)))</f>
        <v>0.0</v>
      </c>
      <c r="R38" s="31">
        <f>IF(R37+AB38-H38&lt;=0.01,0,ROUND(R37+AB38-H38,2))</f>
        <v>0.0</v>
      </c>
      <c r="S38" s="31">
        <f>IF(S37+AC38-I38&lt;=0.01,0,ROUND(S37+AC38-I38,2))</f>
        <v>0.0</v>
      </c>
      <c r="T38" s="31">
        <f>IF(T37+AD38-J38&lt;=0.01,0,ROUND(T37+AD38-J38,2))</f>
        <v>0.0</v>
      </c>
      <c r="U38" s="31">
        <f>IF(U37+AE38-K38&lt;=0.01,0,ROUND(U37+AE38-K38,2))</f>
        <v>0.0</v>
      </c>
      <c r="V38" s="31">
        <f>IF(V37+AF38-L38&lt;=0.01,0,ROUND(V37+AF38-L38,2))</f>
        <v>0.0</v>
      </c>
      <c r="W38" s="31">
        <f>IF(W37+AG38-M38&lt;=0.01,0,ROUND(W37+AG38-M38,2))</f>
        <v>0.0</v>
      </c>
      <c r="X38" s="31">
        <f>IF(X37+AH38-N38&lt;=0.01,0,ROUND(X37+AH38-N38,2))</f>
        <v>0.0</v>
      </c>
      <c r="Y38" s="31">
        <f>IF(Y37+AI38-O38&lt;=0.01,0,ROUND(Y37+AI38-O38,2))</f>
        <v>0.0</v>
      </c>
      <c r="Z38" s="31">
        <f>IF(Z37+AJ38-P38&lt;=0.01,0,ROUND(Z37+AJ38-P38,2))</f>
        <v>0.0</v>
      </c>
      <c r="AA38" s="31">
        <f>IF(AA37+AK38-Q38&lt;=0.01,0,ROUND(AA37+AK38-Q38,2))</f>
        <v>0.0</v>
      </c>
      <c r="AB38" s="31">
        <f>ROUND(R37*AB$5/1200,2)</f>
        <v>0.0</v>
      </c>
      <c r="AC38" s="31">
        <f>ROUND(S37*AC$5/1200,2)</f>
        <v>0.0</v>
      </c>
      <c r="AD38" s="31">
        <f>ROUND(T37*AD$5/1200,2)</f>
        <v>0.0</v>
      </c>
      <c r="AE38" s="31">
        <f>ROUND(U37*AE$5/1200,2)</f>
        <v>0.0</v>
      </c>
      <c r="AF38" s="31">
        <f>ROUND(V37*AF$5/1200,2)</f>
        <v>0.0</v>
      </c>
      <c r="AG38" s="31">
        <f>ROUND(W37*AG$5/1200,2)</f>
        <v>0.0</v>
      </c>
      <c r="AH38" s="31">
        <f>ROUND(X37*AH$5/1200,2)</f>
        <v>0.0</v>
      </c>
      <c r="AI38" s="31">
        <f>ROUND(Y37*AI$5/1200,2)</f>
        <v>0.0</v>
      </c>
      <c r="AJ38" s="31">
        <f>ROUND(Z37*AJ$5/1200,2)</f>
        <v>0.0</v>
      </c>
      <c r="AK38" s="31">
        <f>ROUND(AA37*AK$5/1200,2)</f>
        <v>0.0</v>
      </c>
      <c r="AL38" s="31">
        <f>MIN(AL$5,R37+AB38)</f>
        <v>0.0</v>
      </c>
      <c r="AM38" s="31">
        <f>MIN(AM$5,S37+AC38)</f>
        <v>0.0</v>
      </c>
      <c r="AN38" s="31">
        <f>MIN(AN$5,T37+AD38)</f>
        <v>0.0</v>
      </c>
      <c r="AO38" s="31">
        <f>MIN(AO$5,U37+AE38)</f>
        <v>0.0</v>
      </c>
      <c r="AP38" s="31">
        <f>MIN(AP$5,V37+AF38)</f>
        <v>0.0</v>
      </c>
      <c r="AQ38" s="31">
        <f>MIN(AQ$5,W37+AG38)</f>
        <v>0.0</v>
      </c>
      <c r="AR38" s="31">
        <f>MIN(AR$5,X37+AH38)</f>
        <v>0.0</v>
      </c>
      <c r="AS38" s="31">
        <f>MIN(AS$5,Y37+AI38)</f>
        <v>0.0</v>
      </c>
      <c r="AT38" s="31">
        <f>MIN(AT$5,Z37+AJ38)</f>
        <v>0.0</v>
      </c>
      <c r="AU38" s="31">
        <f>MIN(AU$5,AA37+AK38)</f>
        <v>0.0</v>
      </c>
    </row>
    <row r="39">
      <c r="A39" s="25" t="str">
        <f>IF(F38&gt;0.005,34,"")</f>
        <v/>
      </c>
      <c r="B39" s="33" t="str">
        <f>IF(A39="","",EDATE(Долги!$D$5,33))</f>
        <v/>
      </c>
      <c r="C39" s="31">
        <f>SUM(H39:Q39)</f>
        <v>0.0</v>
      </c>
      <c r="D39" s="31">
        <f>SUM(AB39:AK39)</f>
        <v>0.0</v>
      </c>
      <c r="E39" s="31">
        <f>C39-D39</f>
        <v>0.0</v>
      </c>
      <c r="F39" s="31">
        <f>SUM(R39:AA39)</f>
        <v>0.0</v>
      </c>
      <c r="G39" s="34" t="str">
        <f>IF(OR(A39="",$F$5&lt;=0),"",REPT("█",ROUND(20*F39/$F$5,0)))</f>
        <v/>
      </c>
      <c r="H39" s="31">
        <f>AL39+MIN(R38+AB39-AL39,MAX(0,ROUND(Долги!$D$19-SUM($AL39:$AU39),2)))</f>
        <v>0.0</v>
      </c>
      <c r="I39" s="31">
        <f>AM39+MIN(S38+AC39-AM39,MAX(0,ROUND(ROUND(Долги!$D$19-SUM($AL39:$AU39),2)-(SUM($H39:H39)-SUM($AL39:AL39)),2)))</f>
        <v>0.0</v>
      </c>
      <c r="J39" s="31">
        <f>AN39+MIN(T38+AD39-AN39,MAX(0,ROUND(ROUND(Долги!$D$19-SUM($AL39:$AU39),2)-(SUM($H39:I39)-SUM($AL39:AM39)),2)))</f>
        <v>0.0</v>
      </c>
      <c r="K39" s="31">
        <f>AO39+MIN(U38+AE39-AO39,MAX(0,ROUND(ROUND(Долги!$D$19-SUM($AL39:$AU39),2)-(SUM($H39:J39)-SUM($AL39:AN39)),2)))</f>
        <v>0.0</v>
      </c>
      <c r="L39" s="31">
        <f>AP39+MIN(V38+AF39-AP39,MAX(0,ROUND(ROUND(Долги!$D$19-SUM($AL39:$AU39),2)-(SUM($H39:K39)-SUM($AL39:AO39)),2)))</f>
        <v>0.0</v>
      </c>
      <c r="M39" s="31">
        <f>AQ39+MIN(W38+AG39-AQ39,MAX(0,ROUND(ROUND(Долги!$D$19-SUM($AL39:$AU39),2)-(SUM($H39:L39)-SUM($AL39:AP39)),2)))</f>
        <v>0.0</v>
      </c>
      <c r="N39" s="31">
        <f>AR39+MIN(X38+AH39-AR39,MAX(0,ROUND(ROUND(Долги!$D$19-SUM($AL39:$AU39),2)-(SUM($H39:M39)-SUM($AL39:AQ39)),2)))</f>
        <v>0.0</v>
      </c>
      <c r="O39" s="31">
        <f>AS39+MIN(Y38+AI39-AS39,MAX(0,ROUND(ROUND(Долги!$D$19-SUM($AL39:$AU39),2)-(SUM($H39:N39)-SUM($AL39:AR39)),2)))</f>
        <v>0.0</v>
      </c>
      <c r="P39" s="31">
        <f>AT39+MIN(Z38+AJ39-AT39,MAX(0,ROUND(ROUND(Долги!$D$19-SUM($AL39:$AU39),2)-(SUM($H39:O39)-SUM($AL39:AS39)),2)))</f>
        <v>0.0</v>
      </c>
      <c r="Q39" s="31">
        <f>AU39+MIN(AA38+AK39-AU39,MAX(0,ROUND(ROUND(Долги!$D$19-SUM($AL39:$AU39),2)-(SUM($H39:P39)-SUM($AL39:AT39)),2)))</f>
        <v>0.0</v>
      </c>
      <c r="R39" s="31">
        <f>IF(R38+AB39-H39&lt;=0.01,0,ROUND(R38+AB39-H39,2))</f>
        <v>0.0</v>
      </c>
      <c r="S39" s="31">
        <f>IF(S38+AC39-I39&lt;=0.01,0,ROUND(S38+AC39-I39,2))</f>
        <v>0.0</v>
      </c>
      <c r="T39" s="31">
        <f>IF(T38+AD39-J39&lt;=0.01,0,ROUND(T38+AD39-J39,2))</f>
        <v>0.0</v>
      </c>
      <c r="U39" s="31">
        <f>IF(U38+AE39-K39&lt;=0.01,0,ROUND(U38+AE39-K39,2))</f>
        <v>0.0</v>
      </c>
      <c r="V39" s="31">
        <f>IF(V38+AF39-L39&lt;=0.01,0,ROUND(V38+AF39-L39,2))</f>
        <v>0.0</v>
      </c>
      <c r="W39" s="31">
        <f>IF(W38+AG39-M39&lt;=0.01,0,ROUND(W38+AG39-M39,2))</f>
        <v>0.0</v>
      </c>
      <c r="X39" s="31">
        <f>IF(X38+AH39-N39&lt;=0.01,0,ROUND(X38+AH39-N39,2))</f>
        <v>0.0</v>
      </c>
      <c r="Y39" s="31">
        <f>IF(Y38+AI39-O39&lt;=0.01,0,ROUND(Y38+AI39-O39,2))</f>
        <v>0.0</v>
      </c>
      <c r="Z39" s="31">
        <f>IF(Z38+AJ39-P39&lt;=0.01,0,ROUND(Z38+AJ39-P39,2))</f>
        <v>0.0</v>
      </c>
      <c r="AA39" s="31">
        <f>IF(AA38+AK39-Q39&lt;=0.01,0,ROUND(AA38+AK39-Q39,2))</f>
        <v>0.0</v>
      </c>
      <c r="AB39" s="31">
        <f>ROUND(R38*AB$5/1200,2)</f>
        <v>0.0</v>
      </c>
      <c r="AC39" s="31">
        <f>ROUND(S38*AC$5/1200,2)</f>
        <v>0.0</v>
      </c>
      <c r="AD39" s="31">
        <f>ROUND(T38*AD$5/1200,2)</f>
        <v>0.0</v>
      </c>
      <c r="AE39" s="31">
        <f>ROUND(U38*AE$5/1200,2)</f>
        <v>0.0</v>
      </c>
      <c r="AF39" s="31">
        <f>ROUND(V38*AF$5/1200,2)</f>
        <v>0.0</v>
      </c>
      <c r="AG39" s="31">
        <f>ROUND(W38*AG$5/1200,2)</f>
        <v>0.0</v>
      </c>
      <c r="AH39" s="31">
        <f>ROUND(X38*AH$5/1200,2)</f>
        <v>0.0</v>
      </c>
      <c r="AI39" s="31">
        <f>ROUND(Y38*AI$5/1200,2)</f>
        <v>0.0</v>
      </c>
      <c r="AJ39" s="31">
        <f>ROUND(Z38*AJ$5/1200,2)</f>
        <v>0.0</v>
      </c>
      <c r="AK39" s="31">
        <f>ROUND(AA38*AK$5/1200,2)</f>
        <v>0.0</v>
      </c>
      <c r="AL39" s="31">
        <f>MIN(AL$5,R38+AB39)</f>
        <v>0.0</v>
      </c>
      <c r="AM39" s="31">
        <f>MIN(AM$5,S38+AC39)</f>
        <v>0.0</v>
      </c>
      <c r="AN39" s="31">
        <f>MIN(AN$5,T38+AD39)</f>
        <v>0.0</v>
      </c>
      <c r="AO39" s="31">
        <f>MIN(AO$5,U38+AE39)</f>
        <v>0.0</v>
      </c>
      <c r="AP39" s="31">
        <f>MIN(AP$5,V38+AF39)</f>
        <v>0.0</v>
      </c>
      <c r="AQ39" s="31">
        <f>MIN(AQ$5,W38+AG39)</f>
        <v>0.0</v>
      </c>
      <c r="AR39" s="31">
        <f>MIN(AR$5,X38+AH39)</f>
        <v>0.0</v>
      </c>
      <c r="AS39" s="31">
        <f>MIN(AS$5,Y38+AI39)</f>
        <v>0.0</v>
      </c>
      <c r="AT39" s="31">
        <f>MIN(AT$5,Z38+AJ39)</f>
        <v>0.0</v>
      </c>
      <c r="AU39" s="31">
        <f>MIN(AU$5,AA38+AK39)</f>
        <v>0.0</v>
      </c>
    </row>
    <row r="40">
      <c r="A40" s="25" t="str">
        <f>IF(F39&gt;0.005,35,"")</f>
        <v/>
      </c>
      <c r="B40" s="33" t="str">
        <f>IF(A40="","",EDATE(Долги!$D$5,34))</f>
        <v/>
      </c>
      <c r="C40" s="31">
        <f>SUM(H40:Q40)</f>
        <v>0.0</v>
      </c>
      <c r="D40" s="31">
        <f>SUM(AB40:AK40)</f>
        <v>0.0</v>
      </c>
      <c r="E40" s="31">
        <f>C40-D40</f>
        <v>0.0</v>
      </c>
      <c r="F40" s="31">
        <f>SUM(R40:AA40)</f>
        <v>0.0</v>
      </c>
      <c r="G40" s="34" t="str">
        <f>IF(OR(A40="",$F$5&lt;=0),"",REPT("█",ROUND(20*F40/$F$5,0)))</f>
        <v/>
      </c>
      <c r="H40" s="31">
        <f>AL40+MIN(R39+AB40-AL40,MAX(0,ROUND(Долги!$D$19-SUM($AL40:$AU40),2)))</f>
        <v>0.0</v>
      </c>
      <c r="I40" s="31">
        <f>AM40+MIN(S39+AC40-AM40,MAX(0,ROUND(ROUND(Долги!$D$19-SUM($AL40:$AU40),2)-(SUM($H40:H40)-SUM($AL40:AL40)),2)))</f>
        <v>0.0</v>
      </c>
      <c r="J40" s="31">
        <f>AN40+MIN(T39+AD40-AN40,MAX(0,ROUND(ROUND(Долги!$D$19-SUM($AL40:$AU40),2)-(SUM($H40:I40)-SUM($AL40:AM40)),2)))</f>
        <v>0.0</v>
      </c>
      <c r="K40" s="31">
        <f>AO40+MIN(U39+AE40-AO40,MAX(0,ROUND(ROUND(Долги!$D$19-SUM($AL40:$AU40),2)-(SUM($H40:J40)-SUM($AL40:AN40)),2)))</f>
        <v>0.0</v>
      </c>
      <c r="L40" s="31">
        <f>AP40+MIN(V39+AF40-AP40,MAX(0,ROUND(ROUND(Долги!$D$19-SUM($AL40:$AU40),2)-(SUM($H40:K40)-SUM($AL40:AO40)),2)))</f>
        <v>0.0</v>
      </c>
      <c r="M40" s="31">
        <f>AQ40+MIN(W39+AG40-AQ40,MAX(0,ROUND(ROUND(Долги!$D$19-SUM($AL40:$AU40),2)-(SUM($H40:L40)-SUM($AL40:AP40)),2)))</f>
        <v>0.0</v>
      </c>
      <c r="N40" s="31">
        <f>AR40+MIN(X39+AH40-AR40,MAX(0,ROUND(ROUND(Долги!$D$19-SUM($AL40:$AU40),2)-(SUM($H40:M40)-SUM($AL40:AQ40)),2)))</f>
        <v>0.0</v>
      </c>
      <c r="O40" s="31">
        <f>AS40+MIN(Y39+AI40-AS40,MAX(0,ROUND(ROUND(Долги!$D$19-SUM($AL40:$AU40),2)-(SUM($H40:N40)-SUM($AL40:AR40)),2)))</f>
        <v>0.0</v>
      </c>
      <c r="P40" s="31">
        <f>AT40+MIN(Z39+AJ40-AT40,MAX(0,ROUND(ROUND(Долги!$D$19-SUM($AL40:$AU40),2)-(SUM($H40:O40)-SUM($AL40:AS40)),2)))</f>
        <v>0.0</v>
      </c>
      <c r="Q40" s="31">
        <f>AU40+MIN(AA39+AK40-AU40,MAX(0,ROUND(ROUND(Долги!$D$19-SUM($AL40:$AU40),2)-(SUM($H40:P40)-SUM($AL40:AT40)),2)))</f>
        <v>0.0</v>
      </c>
      <c r="R40" s="31">
        <f>IF(R39+AB40-H40&lt;=0.01,0,ROUND(R39+AB40-H40,2))</f>
        <v>0.0</v>
      </c>
      <c r="S40" s="31">
        <f>IF(S39+AC40-I40&lt;=0.01,0,ROUND(S39+AC40-I40,2))</f>
        <v>0.0</v>
      </c>
      <c r="T40" s="31">
        <f>IF(T39+AD40-J40&lt;=0.01,0,ROUND(T39+AD40-J40,2))</f>
        <v>0.0</v>
      </c>
      <c r="U40" s="31">
        <f>IF(U39+AE40-K40&lt;=0.01,0,ROUND(U39+AE40-K40,2))</f>
        <v>0.0</v>
      </c>
      <c r="V40" s="31">
        <f>IF(V39+AF40-L40&lt;=0.01,0,ROUND(V39+AF40-L40,2))</f>
        <v>0.0</v>
      </c>
      <c r="W40" s="31">
        <f>IF(W39+AG40-M40&lt;=0.01,0,ROUND(W39+AG40-M40,2))</f>
        <v>0.0</v>
      </c>
      <c r="X40" s="31">
        <f>IF(X39+AH40-N40&lt;=0.01,0,ROUND(X39+AH40-N40,2))</f>
        <v>0.0</v>
      </c>
      <c r="Y40" s="31">
        <f>IF(Y39+AI40-O40&lt;=0.01,0,ROUND(Y39+AI40-O40,2))</f>
        <v>0.0</v>
      </c>
      <c r="Z40" s="31">
        <f>IF(Z39+AJ40-P40&lt;=0.01,0,ROUND(Z39+AJ40-P40,2))</f>
        <v>0.0</v>
      </c>
      <c r="AA40" s="31">
        <f>IF(AA39+AK40-Q40&lt;=0.01,0,ROUND(AA39+AK40-Q40,2))</f>
        <v>0.0</v>
      </c>
      <c r="AB40" s="31">
        <f>ROUND(R39*AB$5/1200,2)</f>
        <v>0.0</v>
      </c>
      <c r="AC40" s="31">
        <f>ROUND(S39*AC$5/1200,2)</f>
        <v>0.0</v>
      </c>
      <c r="AD40" s="31">
        <f>ROUND(T39*AD$5/1200,2)</f>
        <v>0.0</v>
      </c>
      <c r="AE40" s="31">
        <f>ROUND(U39*AE$5/1200,2)</f>
        <v>0.0</v>
      </c>
      <c r="AF40" s="31">
        <f>ROUND(V39*AF$5/1200,2)</f>
        <v>0.0</v>
      </c>
      <c r="AG40" s="31">
        <f>ROUND(W39*AG$5/1200,2)</f>
        <v>0.0</v>
      </c>
      <c r="AH40" s="31">
        <f>ROUND(X39*AH$5/1200,2)</f>
        <v>0.0</v>
      </c>
      <c r="AI40" s="31">
        <f>ROUND(Y39*AI$5/1200,2)</f>
        <v>0.0</v>
      </c>
      <c r="AJ40" s="31">
        <f>ROUND(Z39*AJ$5/1200,2)</f>
        <v>0.0</v>
      </c>
      <c r="AK40" s="31">
        <f>ROUND(AA39*AK$5/1200,2)</f>
        <v>0.0</v>
      </c>
      <c r="AL40" s="31">
        <f>MIN(AL$5,R39+AB40)</f>
        <v>0.0</v>
      </c>
      <c r="AM40" s="31">
        <f>MIN(AM$5,S39+AC40)</f>
        <v>0.0</v>
      </c>
      <c r="AN40" s="31">
        <f>MIN(AN$5,T39+AD40)</f>
        <v>0.0</v>
      </c>
      <c r="AO40" s="31">
        <f>MIN(AO$5,U39+AE40)</f>
        <v>0.0</v>
      </c>
      <c r="AP40" s="31">
        <f>MIN(AP$5,V39+AF40)</f>
        <v>0.0</v>
      </c>
      <c r="AQ40" s="31">
        <f>MIN(AQ$5,W39+AG40)</f>
        <v>0.0</v>
      </c>
      <c r="AR40" s="31">
        <f>MIN(AR$5,X39+AH40)</f>
        <v>0.0</v>
      </c>
      <c r="AS40" s="31">
        <f>MIN(AS$5,Y39+AI40)</f>
        <v>0.0</v>
      </c>
      <c r="AT40" s="31">
        <f>MIN(AT$5,Z39+AJ40)</f>
        <v>0.0</v>
      </c>
      <c r="AU40" s="31">
        <f>MIN(AU$5,AA39+AK40)</f>
        <v>0.0</v>
      </c>
    </row>
    <row r="41">
      <c r="A41" s="25" t="str">
        <f>IF(F40&gt;0.005,36,"")</f>
        <v/>
      </c>
      <c r="B41" s="33" t="str">
        <f>IF(A41="","",EDATE(Долги!$D$5,35))</f>
        <v/>
      </c>
      <c r="C41" s="31">
        <f>SUM(H41:Q41)</f>
        <v>0.0</v>
      </c>
      <c r="D41" s="31">
        <f>SUM(AB41:AK41)</f>
        <v>0.0</v>
      </c>
      <c r="E41" s="31">
        <f>C41-D41</f>
        <v>0.0</v>
      </c>
      <c r="F41" s="31">
        <f>SUM(R41:AA41)</f>
        <v>0.0</v>
      </c>
      <c r="G41" s="34" t="str">
        <f>IF(OR(A41="",$F$5&lt;=0),"",REPT("█",ROUND(20*F41/$F$5,0)))</f>
        <v/>
      </c>
      <c r="H41" s="31">
        <f>AL41+MIN(R40+AB41-AL41,MAX(0,ROUND(Долги!$D$19-SUM($AL41:$AU41),2)))</f>
        <v>0.0</v>
      </c>
      <c r="I41" s="31">
        <f>AM41+MIN(S40+AC41-AM41,MAX(0,ROUND(ROUND(Долги!$D$19-SUM($AL41:$AU41),2)-(SUM($H41:H41)-SUM($AL41:AL41)),2)))</f>
        <v>0.0</v>
      </c>
      <c r="J41" s="31">
        <f>AN41+MIN(T40+AD41-AN41,MAX(0,ROUND(ROUND(Долги!$D$19-SUM($AL41:$AU41),2)-(SUM($H41:I41)-SUM($AL41:AM41)),2)))</f>
        <v>0.0</v>
      </c>
      <c r="K41" s="31">
        <f>AO41+MIN(U40+AE41-AO41,MAX(0,ROUND(ROUND(Долги!$D$19-SUM($AL41:$AU41),2)-(SUM($H41:J41)-SUM($AL41:AN41)),2)))</f>
        <v>0.0</v>
      </c>
      <c r="L41" s="31">
        <f>AP41+MIN(V40+AF41-AP41,MAX(0,ROUND(ROUND(Долги!$D$19-SUM($AL41:$AU41),2)-(SUM($H41:K41)-SUM($AL41:AO41)),2)))</f>
        <v>0.0</v>
      </c>
      <c r="M41" s="31">
        <f>AQ41+MIN(W40+AG41-AQ41,MAX(0,ROUND(ROUND(Долги!$D$19-SUM($AL41:$AU41),2)-(SUM($H41:L41)-SUM($AL41:AP41)),2)))</f>
        <v>0.0</v>
      </c>
      <c r="N41" s="31">
        <f>AR41+MIN(X40+AH41-AR41,MAX(0,ROUND(ROUND(Долги!$D$19-SUM($AL41:$AU41),2)-(SUM($H41:M41)-SUM($AL41:AQ41)),2)))</f>
        <v>0.0</v>
      </c>
      <c r="O41" s="31">
        <f>AS41+MIN(Y40+AI41-AS41,MAX(0,ROUND(ROUND(Долги!$D$19-SUM($AL41:$AU41),2)-(SUM($H41:N41)-SUM($AL41:AR41)),2)))</f>
        <v>0.0</v>
      </c>
      <c r="P41" s="31">
        <f>AT41+MIN(Z40+AJ41-AT41,MAX(0,ROUND(ROUND(Долги!$D$19-SUM($AL41:$AU41),2)-(SUM($H41:O41)-SUM($AL41:AS41)),2)))</f>
        <v>0.0</v>
      </c>
      <c r="Q41" s="31">
        <f>AU41+MIN(AA40+AK41-AU41,MAX(0,ROUND(ROUND(Долги!$D$19-SUM($AL41:$AU41),2)-(SUM($H41:P41)-SUM($AL41:AT41)),2)))</f>
        <v>0.0</v>
      </c>
      <c r="R41" s="31">
        <f>IF(R40+AB41-H41&lt;=0.01,0,ROUND(R40+AB41-H41,2))</f>
        <v>0.0</v>
      </c>
      <c r="S41" s="31">
        <f>IF(S40+AC41-I41&lt;=0.01,0,ROUND(S40+AC41-I41,2))</f>
        <v>0.0</v>
      </c>
      <c r="T41" s="31">
        <f>IF(T40+AD41-J41&lt;=0.01,0,ROUND(T40+AD41-J41,2))</f>
        <v>0.0</v>
      </c>
      <c r="U41" s="31">
        <f>IF(U40+AE41-K41&lt;=0.01,0,ROUND(U40+AE41-K41,2))</f>
        <v>0.0</v>
      </c>
      <c r="V41" s="31">
        <f>IF(V40+AF41-L41&lt;=0.01,0,ROUND(V40+AF41-L41,2))</f>
        <v>0.0</v>
      </c>
      <c r="W41" s="31">
        <f>IF(W40+AG41-M41&lt;=0.01,0,ROUND(W40+AG41-M41,2))</f>
        <v>0.0</v>
      </c>
      <c r="X41" s="31">
        <f>IF(X40+AH41-N41&lt;=0.01,0,ROUND(X40+AH41-N41,2))</f>
        <v>0.0</v>
      </c>
      <c r="Y41" s="31">
        <f>IF(Y40+AI41-O41&lt;=0.01,0,ROUND(Y40+AI41-O41,2))</f>
        <v>0.0</v>
      </c>
      <c r="Z41" s="31">
        <f>IF(Z40+AJ41-P41&lt;=0.01,0,ROUND(Z40+AJ41-P41,2))</f>
        <v>0.0</v>
      </c>
      <c r="AA41" s="31">
        <f>IF(AA40+AK41-Q41&lt;=0.01,0,ROUND(AA40+AK41-Q41,2))</f>
        <v>0.0</v>
      </c>
      <c r="AB41" s="31">
        <f>ROUND(R40*AB$5/1200,2)</f>
        <v>0.0</v>
      </c>
      <c r="AC41" s="31">
        <f>ROUND(S40*AC$5/1200,2)</f>
        <v>0.0</v>
      </c>
      <c r="AD41" s="31">
        <f>ROUND(T40*AD$5/1200,2)</f>
        <v>0.0</v>
      </c>
      <c r="AE41" s="31">
        <f>ROUND(U40*AE$5/1200,2)</f>
        <v>0.0</v>
      </c>
      <c r="AF41" s="31">
        <f>ROUND(V40*AF$5/1200,2)</f>
        <v>0.0</v>
      </c>
      <c r="AG41" s="31">
        <f>ROUND(W40*AG$5/1200,2)</f>
        <v>0.0</v>
      </c>
      <c r="AH41" s="31">
        <f>ROUND(X40*AH$5/1200,2)</f>
        <v>0.0</v>
      </c>
      <c r="AI41" s="31">
        <f>ROUND(Y40*AI$5/1200,2)</f>
        <v>0.0</v>
      </c>
      <c r="AJ41" s="31">
        <f>ROUND(Z40*AJ$5/1200,2)</f>
        <v>0.0</v>
      </c>
      <c r="AK41" s="31">
        <f>ROUND(AA40*AK$5/1200,2)</f>
        <v>0.0</v>
      </c>
      <c r="AL41" s="31">
        <f>MIN(AL$5,R40+AB41)</f>
        <v>0.0</v>
      </c>
      <c r="AM41" s="31">
        <f>MIN(AM$5,S40+AC41)</f>
        <v>0.0</v>
      </c>
      <c r="AN41" s="31">
        <f>MIN(AN$5,T40+AD41)</f>
        <v>0.0</v>
      </c>
      <c r="AO41" s="31">
        <f>MIN(AO$5,U40+AE41)</f>
        <v>0.0</v>
      </c>
      <c r="AP41" s="31">
        <f>MIN(AP$5,V40+AF41)</f>
        <v>0.0</v>
      </c>
      <c r="AQ41" s="31">
        <f>MIN(AQ$5,W40+AG41)</f>
        <v>0.0</v>
      </c>
      <c r="AR41" s="31">
        <f>MIN(AR$5,X40+AH41)</f>
        <v>0.0</v>
      </c>
      <c r="AS41" s="31">
        <f>MIN(AS$5,Y40+AI41)</f>
        <v>0.0</v>
      </c>
      <c r="AT41" s="31">
        <f>MIN(AT$5,Z40+AJ41)</f>
        <v>0.0</v>
      </c>
      <c r="AU41" s="31">
        <f>MIN(AU$5,AA40+AK41)</f>
        <v>0.0</v>
      </c>
    </row>
    <row r="42">
      <c r="A42" s="25" t="str">
        <f>IF(F41&gt;0.005,37,"")</f>
        <v/>
      </c>
      <c r="B42" s="33" t="str">
        <f>IF(A42="","",EDATE(Долги!$D$5,36))</f>
        <v/>
      </c>
      <c r="C42" s="31">
        <f>SUM(H42:Q42)</f>
        <v>0.0</v>
      </c>
      <c r="D42" s="31">
        <f>SUM(AB42:AK42)</f>
        <v>0.0</v>
      </c>
      <c r="E42" s="31">
        <f>C42-D42</f>
        <v>0.0</v>
      </c>
      <c r="F42" s="31">
        <f>SUM(R42:AA42)</f>
        <v>0.0</v>
      </c>
      <c r="G42" s="34" t="str">
        <f>IF(OR(A42="",$F$5&lt;=0),"",REPT("█",ROUND(20*F42/$F$5,0)))</f>
        <v/>
      </c>
      <c r="H42" s="31">
        <f>AL42+MIN(R41+AB42-AL42,MAX(0,ROUND(Долги!$D$19-SUM($AL42:$AU42),2)))</f>
        <v>0.0</v>
      </c>
      <c r="I42" s="31">
        <f>AM42+MIN(S41+AC42-AM42,MAX(0,ROUND(ROUND(Долги!$D$19-SUM($AL42:$AU42),2)-(SUM($H42:H42)-SUM($AL42:AL42)),2)))</f>
        <v>0.0</v>
      </c>
      <c r="J42" s="31">
        <f>AN42+MIN(T41+AD42-AN42,MAX(0,ROUND(ROUND(Долги!$D$19-SUM($AL42:$AU42),2)-(SUM($H42:I42)-SUM($AL42:AM42)),2)))</f>
        <v>0.0</v>
      </c>
      <c r="K42" s="31">
        <f>AO42+MIN(U41+AE42-AO42,MAX(0,ROUND(ROUND(Долги!$D$19-SUM($AL42:$AU42),2)-(SUM($H42:J42)-SUM($AL42:AN42)),2)))</f>
        <v>0.0</v>
      </c>
      <c r="L42" s="31">
        <f>AP42+MIN(V41+AF42-AP42,MAX(0,ROUND(ROUND(Долги!$D$19-SUM($AL42:$AU42),2)-(SUM($H42:K42)-SUM($AL42:AO42)),2)))</f>
        <v>0.0</v>
      </c>
      <c r="M42" s="31">
        <f>AQ42+MIN(W41+AG42-AQ42,MAX(0,ROUND(ROUND(Долги!$D$19-SUM($AL42:$AU42),2)-(SUM($H42:L42)-SUM($AL42:AP42)),2)))</f>
        <v>0.0</v>
      </c>
      <c r="N42" s="31">
        <f>AR42+MIN(X41+AH42-AR42,MAX(0,ROUND(ROUND(Долги!$D$19-SUM($AL42:$AU42),2)-(SUM($H42:M42)-SUM($AL42:AQ42)),2)))</f>
        <v>0.0</v>
      </c>
      <c r="O42" s="31">
        <f>AS42+MIN(Y41+AI42-AS42,MAX(0,ROUND(ROUND(Долги!$D$19-SUM($AL42:$AU42),2)-(SUM($H42:N42)-SUM($AL42:AR42)),2)))</f>
        <v>0.0</v>
      </c>
      <c r="P42" s="31">
        <f>AT42+MIN(Z41+AJ42-AT42,MAX(0,ROUND(ROUND(Долги!$D$19-SUM($AL42:$AU42),2)-(SUM($H42:O42)-SUM($AL42:AS42)),2)))</f>
        <v>0.0</v>
      </c>
      <c r="Q42" s="31">
        <f>AU42+MIN(AA41+AK42-AU42,MAX(0,ROUND(ROUND(Долги!$D$19-SUM($AL42:$AU42),2)-(SUM($H42:P42)-SUM($AL42:AT42)),2)))</f>
        <v>0.0</v>
      </c>
      <c r="R42" s="31">
        <f>IF(R41+AB42-H42&lt;=0.01,0,ROUND(R41+AB42-H42,2))</f>
        <v>0.0</v>
      </c>
      <c r="S42" s="31">
        <f>IF(S41+AC42-I42&lt;=0.01,0,ROUND(S41+AC42-I42,2))</f>
        <v>0.0</v>
      </c>
      <c r="T42" s="31">
        <f>IF(T41+AD42-J42&lt;=0.01,0,ROUND(T41+AD42-J42,2))</f>
        <v>0.0</v>
      </c>
      <c r="U42" s="31">
        <f>IF(U41+AE42-K42&lt;=0.01,0,ROUND(U41+AE42-K42,2))</f>
        <v>0.0</v>
      </c>
      <c r="V42" s="31">
        <f>IF(V41+AF42-L42&lt;=0.01,0,ROUND(V41+AF42-L42,2))</f>
        <v>0.0</v>
      </c>
      <c r="W42" s="31">
        <f>IF(W41+AG42-M42&lt;=0.01,0,ROUND(W41+AG42-M42,2))</f>
        <v>0.0</v>
      </c>
      <c r="X42" s="31">
        <f>IF(X41+AH42-N42&lt;=0.01,0,ROUND(X41+AH42-N42,2))</f>
        <v>0.0</v>
      </c>
      <c r="Y42" s="31">
        <f>IF(Y41+AI42-O42&lt;=0.01,0,ROUND(Y41+AI42-O42,2))</f>
        <v>0.0</v>
      </c>
      <c r="Z42" s="31">
        <f>IF(Z41+AJ42-P42&lt;=0.01,0,ROUND(Z41+AJ42-P42,2))</f>
        <v>0.0</v>
      </c>
      <c r="AA42" s="31">
        <f>IF(AA41+AK42-Q42&lt;=0.01,0,ROUND(AA41+AK42-Q42,2))</f>
        <v>0.0</v>
      </c>
      <c r="AB42" s="31">
        <f>ROUND(R41*AB$5/1200,2)</f>
        <v>0.0</v>
      </c>
      <c r="AC42" s="31">
        <f>ROUND(S41*AC$5/1200,2)</f>
        <v>0.0</v>
      </c>
      <c r="AD42" s="31">
        <f>ROUND(T41*AD$5/1200,2)</f>
        <v>0.0</v>
      </c>
      <c r="AE42" s="31">
        <f>ROUND(U41*AE$5/1200,2)</f>
        <v>0.0</v>
      </c>
      <c r="AF42" s="31">
        <f>ROUND(V41*AF$5/1200,2)</f>
        <v>0.0</v>
      </c>
      <c r="AG42" s="31">
        <f>ROUND(W41*AG$5/1200,2)</f>
        <v>0.0</v>
      </c>
      <c r="AH42" s="31">
        <f>ROUND(X41*AH$5/1200,2)</f>
        <v>0.0</v>
      </c>
      <c r="AI42" s="31">
        <f>ROUND(Y41*AI$5/1200,2)</f>
        <v>0.0</v>
      </c>
      <c r="AJ42" s="31">
        <f>ROUND(Z41*AJ$5/1200,2)</f>
        <v>0.0</v>
      </c>
      <c r="AK42" s="31">
        <f>ROUND(AA41*AK$5/1200,2)</f>
        <v>0.0</v>
      </c>
      <c r="AL42" s="31">
        <f>MIN(AL$5,R41+AB42)</f>
        <v>0.0</v>
      </c>
      <c r="AM42" s="31">
        <f>MIN(AM$5,S41+AC42)</f>
        <v>0.0</v>
      </c>
      <c r="AN42" s="31">
        <f>MIN(AN$5,T41+AD42)</f>
        <v>0.0</v>
      </c>
      <c r="AO42" s="31">
        <f>MIN(AO$5,U41+AE42)</f>
        <v>0.0</v>
      </c>
      <c r="AP42" s="31">
        <f>MIN(AP$5,V41+AF42)</f>
        <v>0.0</v>
      </c>
      <c r="AQ42" s="31">
        <f>MIN(AQ$5,W41+AG42)</f>
        <v>0.0</v>
      </c>
      <c r="AR42" s="31">
        <f>MIN(AR$5,X41+AH42)</f>
        <v>0.0</v>
      </c>
      <c r="AS42" s="31">
        <f>MIN(AS$5,Y41+AI42)</f>
        <v>0.0</v>
      </c>
      <c r="AT42" s="31">
        <f>MIN(AT$5,Z41+AJ42)</f>
        <v>0.0</v>
      </c>
      <c r="AU42" s="31">
        <f>MIN(AU$5,AA41+AK42)</f>
        <v>0.0</v>
      </c>
    </row>
    <row r="43">
      <c r="A43" s="25" t="str">
        <f>IF(F42&gt;0.005,38,"")</f>
        <v/>
      </c>
      <c r="B43" s="33" t="str">
        <f>IF(A43="","",EDATE(Долги!$D$5,37))</f>
        <v/>
      </c>
      <c r="C43" s="31">
        <f>SUM(H43:Q43)</f>
        <v>0.0</v>
      </c>
      <c r="D43" s="31">
        <f>SUM(AB43:AK43)</f>
        <v>0.0</v>
      </c>
      <c r="E43" s="31">
        <f>C43-D43</f>
        <v>0.0</v>
      </c>
      <c r="F43" s="31">
        <f>SUM(R43:AA43)</f>
        <v>0.0</v>
      </c>
      <c r="G43" s="34" t="str">
        <f>IF(OR(A43="",$F$5&lt;=0),"",REPT("█",ROUND(20*F43/$F$5,0)))</f>
        <v/>
      </c>
      <c r="H43" s="31">
        <f>AL43+MIN(R42+AB43-AL43,MAX(0,ROUND(Долги!$D$19-SUM($AL43:$AU43),2)))</f>
        <v>0.0</v>
      </c>
      <c r="I43" s="31">
        <f>AM43+MIN(S42+AC43-AM43,MAX(0,ROUND(ROUND(Долги!$D$19-SUM($AL43:$AU43),2)-(SUM($H43:H43)-SUM($AL43:AL43)),2)))</f>
        <v>0.0</v>
      </c>
      <c r="J43" s="31">
        <f>AN43+MIN(T42+AD43-AN43,MAX(0,ROUND(ROUND(Долги!$D$19-SUM($AL43:$AU43),2)-(SUM($H43:I43)-SUM($AL43:AM43)),2)))</f>
        <v>0.0</v>
      </c>
      <c r="K43" s="31">
        <f>AO43+MIN(U42+AE43-AO43,MAX(0,ROUND(ROUND(Долги!$D$19-SUM($AL43:$AU43),2)-(SUM($H43:J43)-SUM($AL43:AN43)),2)))</f>
        <v>0.0</v>
      </c>
      <c r="L43" s="31">
        <f>AP43+MIN(V42+AF43-AP43,MAX(0,ROUND(ROUND(Долги!$D$19-SUM($AL43:$AU43),2)-(SUM($H43:K43)-SUM($AL43:AO43)),2)))</f>
        <v>0.0</v>
      </c>
      <c r="M43" s="31">
        <f>AQ43+MIN(W42+AG43-AQ43,MAX(0,ROUND(ROUND(Долги!$D$19-SUM($AL43:$AU43),2)-(SUM($H43:L43)-SUM($AL43:AP43)),2)))</f>
        <v>0.0</v>
      </c>
      <c r="N43" s="31">
        <f>AR43+MIN(X42+AH43-AR43,MAX(0,ROUND(ROUND(Долги!$D$19-SUM($AL43:$AU43),2)-(SUM($H43:M43)-SUM($AL43:AQ43)),2)))</f>
        <v>0.0</v>
      </c>
      <c r="O43" s="31">
        <f>AS43+MIN(Y42+AI43-AS43,MAX(0,ROUND(ROUND(Долги!$D$19-SUM($AL43:$AU43),2)-(SUM($H43:N43)-SUM($AL43:AR43)),2)))</f>
        <v>0.0</v>
      </c>
      <c r="P43" s="31">
        <f>AT43+MIN(Z42+AJ43-AT43,MAX(0,ROUND(ROUND(Долги!$D$19-SUM($AL43:$AU43),2)-(SUM($H43:O43)-SUM($AL43:AS43)),2)))</f>
        <v>0.0</v>
      </c>
      <c r="Q43" s="31">
        <f>AU43+MIN(AA42+AK43-AU43,MAX(0,ROUND(ROUND(Долги!$D$19-SUM($AL43:$AU43),2)-(SUM($H43:P43)-SUM($AL43:AT43)),2)))</f>
        <v>0.0</v>
      </c>
      <c r="R43" s="31">
        <f>IF(R42+AB43-H43&lt;=0.01,0,ROUND(R42+AB43-H43,2))</f>
        <v>0.0</v>
      </c>
      <c r="S43" s="31">
        <f>IF(S42+AC43-I43&lt;=0.01,0,ROUND(S42+AC43-I43,2))</f>
        <v>0.0</v>
      </c>
      <c r="T43" s="31">
        <f>IF(T42+AD43-J43&lt;=0.01,0,ROUND(T42+AD43-J43,2))</f>
        <v>0.0</v>
      </c>
      <c r="U43" s="31">
        <f>IF(U42+AE43-K43&lt;=0.01,0,ROUND(U42+AE43-K43,2))</f>
        <v>0.0</v>
      </c>
      <c r="V43" s="31">
        <f>IF(V42+AF43-L43&lt;=0.01,0,ROUND(V42+AF43-L43,2))</f>
        <v>0.0</v>
      </c>
      <c r="W43" s="31">
        <f>IF(W42+AG43-M43&lt;=0.01,0,ROUND(W42+AG43-M43,2))</f>
        <v>0.0</v>
      </c>
      <c r="X43" s="31">
        <f>IF(X42+AH43-N43&lt;=0.01,0,ROUND(X42+AH43-N43,2))</f>
        <v>0.0</v>
      </c>
      <c r="Y43" s="31">
        <f>IF(Y42+AI43-O43&lt;=0.01,0,ROUND(Y42+AI43-O43,2))</f>
        <v>0.0</v>
      </c>
      <c r="Z43" s="31">
        <f>IF(Z42+AJ43-P43&lt;=0.01,0,ROUND(Z42+AJ43-P43,2))</f>
        <v>0.0</v>
      </c>
      <c r="AA43" s="31">
        <f>IF(AA42+AK43-Q43&lt;=0.01,0,ROUND(AA42+AK43-Q43,2))</f>
        <v>0.0</v>
      </c>
      <c r="AB43" s="31">
        <f>ROUND(R42*AB$5/1200,2)</f>
        <v>0.0</v>
      </c>
      <c r="AC43" s="31">
        <f>ROUND(S42*AC$5/1200,2)</f>
        <v>0.0</v>
      </c>
      <c r="AD43" s="31">
        <f>ROUND(T42*AD$5/1200,2)</f>
        <v>0.0</v>
      </c>
      <c r="AE43" s="31">
        <f>ROUND(U42*AE$5/1200,2)</f>
        <v>0.0</v>
      </c>
      <c r="AF43" s="31">
        <f>ROUND(V42*AF$5/1200,2)</f>
        <v>0.0</v>
      </c>
      <c r="AG43" s="31">
        <f>ROUND(W42*AG$5/1200,2)</f>
        <v>0.0</v>
      </c>
      <c r="AH43" s="31">
        <f>ROUND(X42*AH$5/1200,2)</f>
        <v>0.0</v>
      </c>
      <c r="AI43" s="31">
        <f>ROUND(Y42*AI$5/1200,2)</f>
        <v>0.0</v>
      </c>
      <c r="AJ43" s="31">
        <f>ROUND(Z42*AJ$5/1200,2)</f>
        <v>0.0</v>
      </c>
      <c r="AK43" s="31">
        <f>ROUND(AA42*AK$5/1200,2)</f>
        <v>0.0</v>
      </c>
      <c r="AL43" s="31">
        <f>MIN(AL$5,R42+AB43)</f>
        <v>0.0</v>
      </c>
      <c r="AM43" s="31">
        <f>MIN(AM$5,S42+AC43)</f>
        <v>0.0</v>
      </c>
      <c r="AN43" s="31">
        <f>MIN(AN$5,T42+AD43)</f>
        <v>0.0</v>
      </c>
      <c r="AO43" s="31">
        <f>MIN(AO$5,U42+AE43)</f>
        <v>0.0</v>
      </c>
      <c r="AP43" s="31">
        <f>MIN(AP$5,V42+AF43)</f>
        <v>0.0</v>
      </c>
      <c r="AQ43" s="31">
        <f>MIN(AQ$5,W42+AG43)</f>
        <v>0.0</v>
      </c>
      <c r="AR43" s="31">
        <f>MIN(AR$5,X42+AH43)</f>
        <v>0.0</v>
      </c>
      <c r="AS43" s="31">
        <f>MIN(AS$5,Y42+AI43)</f>
        <v>0.0</v>
      </c>
      <c r="AT43" s="31">
        <f>MIN(AT$5,Z42+AJ43)</f>
        <v>0.0</v>
      </c>
      <c r="AU43" s="31">
        <f>MIN(AU$5,AA42+AK43)</f>
        <v>0.0</v>
      </c>
    </row>
    <row r="44">
      <c r="A44" s="25" t="str">
        <f>IF(F43&gt;0.005,39,"")</f>
        <v/>
      </c>
      <c r="B44" s="33" t="str">
        <f>IF(A44="","",EDATE(Долги!$D$5,38))</f>
        <v/>
      </c>
      <c r="C44" s="31">
        <f>SUM(H44:Q44)</f>
        <v>0.0</v>
      </c>
      <c r="D44" s="31">
        <f>SUM(AB44:AK44)</f>
        <v>0.0</v>
      </c>
      <c r="E44" s="31">
        <f>C44-D44</f>
        <v>0.0</v>
      </c>
      <c r="F44" s="31">
        <f>SUM(R44:AA44)</f>
        <v>0.0</v>
      </c>
      <c r="G44" s="34" t="str">
        <f>IF(OR(A44="",$F$5&lt;=0),"",REPT("█",ROUND(20*F44/$F$5,0)))</f>
        <v/>
      </c>
      <c r="H44" s="31">
        <f>AL44+MIN(R43+AB44-AL44,MAX(0,ROUND(Долги!$D$19-SUM($AL44:$AU44),2)))</f>
        <v>0.0</v>
      </c>
      <c r="I44" s="31">
        <f>AM44+MIN(S43+AC44-AM44,MAX(0,ROUND(ROUND(Долги!$D$19-SUM($AL44:$AU44),2)-(SUM($H44:H44)-SUM($AL44:AL44)),2)))</f>
        <v>0.0</v>
      </c>
      <c r="J44" s="31">
        <f>AN44+MIN(T43+AD44-AN44,MAX(0,ROUND(ROUND(Долги!$D$19-SUM($AL44:$AU44),2)-(SUM($H44:I44)-SUM($AL44:AM44)),2)))</f>
        <v>0.0</v>
      </c>
      <c r="K44" s="31">
        <f>AO44+MIN(U43+AE44-AO44,MAX(0,ROUND(ROUND(Долги!$D$19-SUM($AL44:$AU44),2)-(SUM($H44:J44)-SUM($AL44:AN44)),2)))</f>
        <v>0.0</v>
      </c>
      <c r="L44" s="31">
        <f>AP44+MIN(V43+AF44-AP44,MAX(0,ROUND(ROUND(Долги!$D$19-SUM($AL44:$AU44),2)-(SUM($H44:K44)-SUM($AL44:AO44)),2)))</f>
        <v>0.0</v>
      </c>
      <c r="M44" s="31">
        <f>AQ44+MIN(W43+AG44-AQ44,MAX(0,ROUND(ROUND(Долги!$D$19-SUM($AL44:$AU44),2)-(SUM($H44:L44)-SUM($AL44:AP44)),2)))</f>
        <v>0.0</v>
      </c>
      <c r="N44" s="31">
        <f>AR44+MIN(X43+AH44-AR44,MAX(0,ROUND(ROUND(Долги!$D$19-SUM($AL44:$AU44),2)-(SUM($H44:M44)-SUM($AL44:AQ44)),2)))</f>
        <v>0.0</v>
      </c>
      <c r="O44" s="31">
        <f>AS44+MIN(Y43+AI44-AS44,MAX(0,ROUND(ROUND(Долги!$D$19-SUM($AL44:$AU44),2)-(SUM($H44:N44)-SUM($AL44:AR44)),2)))</f>
        <v>0.0</v>
      </c>
      <c r="P44" s="31">
        <f>AT44+MIN(Z43+AJ44-AT44,MAX(0,ROUND(ROUND(Долги!$D$19-SUM($AL44:$AU44),2)-(SUM($H44:O44)-SUM($AL44:AS44)),2)))</f>
        <v>0.0</v>
      </c>
      <c r="Q44" s="31">
        <f>AU44+MIN(AA43+AK44-AU44,MAX(0,ROUND(ROUND(Долги!$D$19-SUM($AL44:$AU44),2)-(SUM($H44:P44)-SUM($AL44:AT44)),2)))</f>
        <v>0.0</v>
      </c>
      <c r="R44" s="31">
        <f>IF(R43+AB44-H44&lt;=0.01,0,ROUND(R43+AB44-H44,2))</f>
        <v>0.0</v>
      </c>
      <c r="S44" s="31">
        <f>IF(S43+AC44-I44&lt;=0.01,0,ROUND(S43+AC44-I44,2))</f>
        <v>0.0</v>
      </c>
      <c r="T44" s="31">
        <f>IF(T43+AD44-J44&lt;=0.01,0,ROUND(T43+AD44-J44,2))</f>
        <v>0.0</v>
      </c>
      <c r="U44" s="31">
        <f>IF(U43+AE44-K44&lt;=0.01,0,ROUND(U43+AE44-K44,2))</f>
        <v>0.0</v>
      </c>
      <c r="V44" s="31">
        <f>IF(V43+AF44-L44&lt;=0.01,0,ROUND(V43+AF44-L44,2))</f>
        <v>0.0</v>
      </c>
      <c r="W44" s="31">
        <f>IF(W43+AG44-M44&lt;=0.01,0,ROUND(W43+AG44-M44,2))</f>
        <v>0.0</v>
      </c>
      <c r="X44" s="31">
        <f>IF(X43+AH44-N44&lt;=0.01,0,ROUND(X43+AH44-N44,2))</f>
        <v>0.0</v>
      </c>
      <c r="Y44" s="31">
        <f>IF(Y43+AI44-O44&lt;=0.01,0,ROUND(Y43+AI44-O44,2))</f>
        <v>0.0</v>
      </c>
      <c r="Z44" s="31">
        <f>IF(Z43+AJ44-P44&lt;=0.01,0,ROUND(Z43+AJ44-P44,2))</f>
        <v>0.0</v>
      </c>
      <c r="AA44" s="31">
        <f>IF(AA43+AK44-Q44&lt;=0.01,0,ROUND(AA43+AK44-Q44,2))</f>
        <v>0.0</v>
      </c>
      <c r="AB44" s="31">
        <f>ROUND(R43*AB$5/1200,2)</f>
        <v>0.0</v>
      </c>
      <c r="AC44" s="31">
        <f>ROUND(S43*AC$5/1200,2)</f>
        <v>0.0</v>
      </c>
      <c r="AD44" s="31">
        <f>ROUND(T43*AD$5/1200,2)</f>
        <v>0.0</v>
      </c>
      <c r="AE44" s="31">
        <f>ROUND(U43*AE$5/1200,2)</f>
        <v>0.0</v>
      </c>
      <c r="AF44" s="31">
        <f>ROUND(V43*AF$5/1200,2)</f>
        <v>0.0</v>
      </c>
      <c r="AG44" s="31">
        <f>ROUND(W43*AG$5/1200,2)</f>
        <v>0.0</v>
      </c>
      <c r="AH44" s="31">
        <f>ROUND(X43*AH$5/1200,2)</f>
        <v>0.0</v>
      </c>
      <c r="AI44" s="31">
        <f>ROUND(Y43*AI$5/1200,2)</f>
        <v>0.0</v>
      </c>
      <c r="AJ44" s="31">
        <f>ROUND(Z43*AJ$5/1200,2)</f>
        <v>0.0</v>
      </c>
      <c r="AK44" s="31">
        <f>ROUND(AA43*AK$5/1200,2)</f>
        <v>0.0</v>
      </c>
      <c r="AL44" s="31">
        <f>MIN(AL$5,R43+AB44)</f>
        <v>0.0</v>
      </c>
      <c r="AM44" s="31">
        <f>MIN(AM$5,S43+AC44)</f>
        <v>0.0</v>
      </c>
      <c r="AN44" s="31">
        <f>MIN(AN$5,T43+AD44)</f>
        <v>0.0</v>
      </c>
      <c r="AO44" s="31">
        <f>MIN(AO$5,U43+AE44)</f>
        <v>0.0</v>
      </c>
      <c r="AP44" s="31">
        <f>MIN(AP$5,V43+AF44)</f>
        <v>0.0</v>
      </c>
      <c r="AQ44" s="31">
        <f>MIN(AQ$5,W43+AG44)</f>
        <v>0.0</v>
      </c>
      <c r="AR44" s="31">
        <f>MIN(AR$5,X43+AH44)</f>
        <v>0.0</v>
      </c>
      <c r="AS44" s="31">
        <f>MIN(AS$5,Y43+AI44)</f>
        <v>0.0</v>
      </c>
      <c r="AT44" s="31">
        <f>MIN(AT$5,Z43+AJ44)</f>
        <v>0.0</v>
      </c>
      <c r="AU44" s="31">
        <f>MIN(AU$5,AA43+AK44)</f>
        <v>0.0</v>
      </c>
    </row>
    <row r="45">
      <c r="A45" s="25" t="str">
        <f>IF(F44&gt;0.005,40,"")</f>
        <v/>
      </c>
      <c r="B45" s="33" t="str">
        <f>IF(A45="","",EDATE(Долги!$D$5,39))</f>
        <v/>
      </c>
      <c r="C45" s="31">
        <f>SUM(H45:Q45)</f>
        <v>0.0</v>
      </c>
      <c r="D45" s="31">
        <f>SUM(AB45:AK45)</f>
        <v>0.0</v>
      </c>
      <c r="E45" s="31">
        <f>C45-D45</f>
        <v>0.0</v>
      </c>
      <c r="F45" s="31">
        <f>SUM(R45:AA45)</f>
        <v>0.0</v>
      </c>
      <c r="G45" s="34" t="str">
        <f>IF(OR(A45="",$F$5&lt;=0),"",REPT("█",ROUND(20*F45/$F$5,0)))</f>
        <v/>
      </c>
      <c r="H45" s="31">
        <f>AL45+MIN(R44+AB45-AL45,MAX(0,ROUND(Долги!$D$19-SUM($AL45:$AU45),2)))</f>
        <v>0.0</v>
      </c>
      <c r="I45" s="31">
        <f>AM45+MIN(S44+AC45-AM45,MAX(0,ROUND(ROUND(Долги!$D$19-SUM($AL45:$AU45),2)-(SUM($H45:H45)-SUM($AL45:AL45)),2)))</f>
        <v>0.0</v>
      </c>
      <c r="J45" s="31">
        <f>AN45+MIN(T44+AD45-AN45,MAX(0,ROUND(ROUND(Долги!$D$19-SUM($AL45:$AU45),2)-(SUM($H45:I45)-SUM($AL45:AM45)),2)))</f>
        <v>0.0</v>
      </c>
      <c r="K45" s="31">
        <f>AO45+MIN(U44+AE45-AO45,MAX(0,ROUND(ROUND(Долги!$D$19-SUM($AL45:$AU45),2)-(SUM($H45:J45)-SUM($AL45:AN45)),2)))</f>
        <v>0.0</v>
      </c>
      <c r="L45" s="31">
        <f>AP45+MIN(V44+AF45-AP45,MAX(0,ROUND(ROUND(Долги!$D$19-SUM($AL45:$AU45),2)-(SUM($H45:K45)-SUM($AL45:AO45)),2)))</f>
        <v>0.0</v>
      </c>
      <c r="M45" s="31">
        <f>AQ45+MIN(W44+AG45-AQ45,MAX(0,ROUND(ROUND(Долги!$D$19-SUM($AL45:$AU45),2)-(SUM($H45:L45)-SUM($AL45:AP45)),2)))</f>
        <v>0.0</v>
      </c>
      <c r="N45" s="31">
        <f>AR45+MIN(X44+AH45-AR45,MAX(0,ROUND(ROUND(Долги!$D$19-SUM($AL45:$AU45),2)-(SUM($H45:M45)-SUM($AL45:AQ45)),2)))</f>
        <v>0.0</v>
      </c>
      <c r="O45" s="31">
        <f>AS45+MIN(Y44+AI45-AS45,MAX(0,ROUND(ROUND(Долги!$D$19-SUM($AL45:$AU45),2)-(SUM($H45:N45)-SUM($AL45:AR45)),2)))</f>
        <v>0.0</v>
      </c>
      <c r="P45" s="31">
        <f>AT45+MIN(Z44+AJ45-AT45,MAX(0,ROUND(ROUND(Долги!$D$19-SUM($AL45:$AU45),2)-(SUM($H45:O45)-SUM($AL45:AS45)),2)))</f>
        <v>0.0</v>
      </c>
      <c r="Q45" s="31">
        <f>AU45+MIN(AA44+AK45-AU45,MAX(0,ROUND(ROUND(Долги!$D$19-SUM($AL45:$AU45),2)-(SUM($H45:P45)-SUM($AL45:AT45)),2)))</f>
        <v>0.0</v>
      </c>
      <c r="R45" s="31">
        <f>IF(R44+AB45-H45&lt;=0.01,0,ROUND(R44+AB45-H45,2))</f>
        <v>0.0</v>
      </c>
      <c r="S45" s="31">
        <f>IF(S44+AC45-I45&lt;=0.01,0,ROUND(S44+AC45-I45,2))</f>
        <v>0.0</v>
      </c>
      <c r="T45" s="31">
        <f>IF(T44+AD45-J45&lt;=0.01,0,ROUND(T44+AD45-J45,2))</f>
        <v>0.0</v>
      </c>
      <c r="U45" s="31">
        <f>IF(U44+AE45-K45&lt;=0.01,0,ROUND(U44+AE45-K45,2))</f>
        <v>0.0</v>
      </c>
      <c r="V45" s="31">
        <f>IF(V44+AF45-L45&lt;=0.01,0,ROUND(V44+AF45-L45,2))</f>
        <v>0.0</v>
      </c>
      <c r="W45" s="31">
        <f>IF(W44+AG45-M45&lt;=0.01,0,ROUND(W44+AG45-M45,2))</f>
        <v>0.0</v>
      </c>
      <c r="X45" s="31">
        <f>IF(X44+AH45-N45&lt;=0.01,0,ROUND(X44+AH45-N45,2))</f>
        <v>0.0</v>
      </c>
      <c r="Y45" s="31">
        <f>IF(Y44+AI45-O45&lt;=0.01,0,ROUND(Y44+AI45-O45,2))</f>
        <v>0.0</v>
      </c>
      <c r="Z45" s="31">
        <f>IF(Z44+AJ45-P45&lt;=0.01,0,ROUND(Z44+AJ45-P45,2))</f>
        <v>0.0</v>
      </c>
      <c r="AA45" s="31">
        <f>IF(AA44+AK45-Q45&lt;=0.01,0,ROUND(AA44+AK45-Q45,2))</f>
        <v>0.0</v>
      </c>
      <c r="AB45" s="31">
        <f>ROUND(R44*AB$5/1200,2)</f>
        <v>0.0</v>
      </c>
      <c r="AC45" s="31">
        <f>ROUND(S44*AC$5/1200,2)</f>
        <v>0.0</v>
      </c>
      <c r="AD45" s="31">
        <f>ROUND(T44*AD$5/1200,2)</f>
        <v>0.0</v>
      </c>
      <c r="AE45" s="31">
        <f>ROUND(U44*AE$5/1200,2)</f>
        <v>0.0</v>
      </c>
      <c r="AF45" s="31">
        <f>ROUND(V44*AF$5/1200,2)</f>
        <v>0.0</v>
      </c>
      <c r="AG45" s="31">
        <f>ROUND(W44*AG$5/1200,2)</f>
        <v>0.0</v>
      </c>
      <c r="AH45" s="31">
        <f>ROUND(X44*AH$5/1200,2)</f>
        <v>0.0</v>
      </c>
      <c r="AI45" s="31">
        <f>ROUND(Y44*AI$5/1200,2)</f>
        <v>0.0</v>
      </c>
      <c r="AJ45" s="31">
        <f>ROUND(Z44*AJ$5/1200,2)</f>
        <v>0.0</v>
      </c>
      <c r="AK45" s="31">
        <f>ROUND(AA44*AK$5/1200,2)</f>
        <v>0.0</v>
      </c>
      <c r="AL45" s="31">
        <f>MIN(AL$5,R44+AB45)</f>
        <v>0.0</v>
      </c>
      <c r="AM45" s="31">
        <f>MIN(AM$5,S44+AC45)</f>
        <v>0.0</v>
      </c>
      <c r="AN45" s="31">
        <f>MIN(AN$5,T44+AD45)</f>
        <v>0.0</v>
      </c>
      <c r="AO45" s="31">
        <f>MIN(AO$5,U44+AE45)</f>
        <v>0.0</v>
      </c>
      <c r="AP45" s="31">
        <f>MIN(AP$5,V44+AF45)</f>
        <v>0.0</v>
      </c>
      <c r="AQ45" s="31">
        <f>MIN(AQ$5,W44+AG45)</f>
        <v>0.0</v>
      </c>
      <c r="AR45" s="31">
        <f>MIN(AR$5,X44+AH45)</f>
        <v>0.0</v>
      </c>
      <c r="AS45" s="31">
        <f>MIN(AS$5,Y44+AI45)</f>
        <v>0.0</v>
      </c>
      <c r="AT45" s="31">
        <f>MIN(AT$5,Z44+AJ45)</f>
        <v>0.0</v>
      </c>
      <c r="AU45" s="31">
        <f>MIN(AU$5,AA44+AK45)</f>
        <v>0.0</v>
      </c>
    </row>
    <row r="46">
      <c r="A46" s="25" t="str">
        <f>IF(F45&gt;0.005,41,"")</f>
        <v/>
      </c>
      <c r="B46" s="33" t="str">
        <f>IF(A46="","",EDATE(Долги!$D$5,40))</f>
        <v/>
      </c>
      <c r="C46" s="31">
        <f>SUM(H46:Q46)</f>
        <v>0.0</v>
      </c>
      <c r="D46" s="31">
        <f>SUM(AB46:AK46)</f>
        <v>0.0</v>
      </c>
      <c r="E46" s="31">
        <f>C46-D46</f>
        <v>0.0</v>
      </c>
      <c r="F46" s="31">
        <f>SUM(R46:AA46)</f>
        <v>0.0</v>
      </c>
      <c r="G46" s="34" t="str">
        <f>IF(OR(A46="",$F$5&lt;=0),"",REPT("█",ROUND(20*F46/$F$5,0)))</f>
        <v/>
      </c>
      <c r="H46" s="31">
        <f>AL46+MIN(R45+AB46-AL46,MAX(0,ROUND(Долги!$D$19-SUM($AL46:$AU46),2)))</f>
        <v>0.0</v>
      </c>
      <c r="I46" s="31">
        <f>AM46+MIN(S45+AC46-AM46,MAX(0,ROUND(ROUND(Долги!$D$19-SUM($AL46:$AU46),2)-(SUM($H46:H46)-SUM($AL46:AL46)),2)))</f>
        <v>0.0</v>
      </c>
      <c r="J46" s="31">
        <f>AN46+MIN(T45+AD46-AN46,MAX(0,ROUND(ROUND(Долги!$D$19-SUM($AL46:$AU46),2)-(SUM($H46:I46)-SUM($AL46:AM46)),2)))</f>
        <v>0.0</v>
      </c>
      <c r="K46" s="31">
        <f>AO46+MIN(U45+AE46-AO46,MAX(0,ROUND(ROUND(Долги!$D$19-SUM($AL46:$AU46),2)-(SUM($H46:J46)-SUM($AL46:AN46)),2)))</f>
        <v>0.0</v>
      </c>
      <c r="L46" s="31">
        <f>AP46+MIN(V45+AF46-AP46,MAX(0,ROUND(ROUND(Долги!$D$19-SUM($AL46:$AU46),2)-(SUM($H46:K46)-SUM($AL46:AO46)),2)))</f>
        <v>0.0</v>
      </c>
      <c r="M46" s="31">
        <f>AQ46+MIN(W45+AG46-AQ46,MAX(0,ROUND(ROUND(Долги!$D$19-SUM($AL46:$AU46),2)-(SUM($H46:L46)-SUM($AL46:AP46)),2)))</f>
        <v>0.0</v>
      </c>
      <c r="N46" s="31">
        <f>AR46+MIN(X45+AH46-AR46,MAX(0,ROUND(ROUND(Долги!$D$19-SUM($AL46:$AU46),2)-(SUM($H46:M46)-SUM($AL46:AQ46)),2)))</f>
        <v>0.0</v>
      </c>
      <c r="O46" s="31">
        <f>AS46+MIN(Y45+AI46-AS46,MAX(0,ROUND(ROUND(Долги!$D$19-SUM($AL46:$AU46),2)-(SUM($H46:N46)-SUM($AL46:AR46)),2)))</f>
        <v>0.0</v>
      </c>
      <c r="P46" s="31">
        <f>AT46+MIN(Z45+AJ46-AT46,MAX(0,ROUND(ROUND(Долги!$D$19-SUM($AL46:$AU46),2)-(SUM($H46:O46)-SUM($AL46:AS46)),2)))</f>
        <v>0.0</v>
      </c>
      <c r="Q46" s="31">
        <f>AU46+MIN(AA45+AK46-AU46,MAX(0,ROUND(ROUND(Долги!$D$19-SUM($AL46:$AU46),2)-(SUM($H46:P46)-SUM($AL46:AT46)),2)))</f>
        <v>0.0</v>
      </c>
      <c r="R46" s="31">
        <f>IF(R45+AB46-H46&lt;=0.01,0,ROUND(R45+AB46-H46,2))</f>
        <v>0.0</v>
      </c>
      <c r="S46" s="31">
        <f>IF(S45+AC46-I46&lt;=0.01,0,ROUND(S45+AC46-I46,2))</f>
        <v>0.0</v>
      </c>
      <c r="T46" s="31">
        <f>IF(T45+AD46-J46&lt;=0.01,0,ROUND(T45+AD46-J46,2))</f>
        <v>0.0</v>
      </c>
      <c r="U46" s="31">
        <f>IF(U45+AE46-K46&lt;=0.01,0,ROUND(U45+AE46-K46,2))</f>
        <v>0.0</v>
      </c>
      <c r="V46" s="31">
        <f>IF(V45+AF46-L46&lt;=0.01,0,ROUND(V45+AF46-L46,2))</f>
        <v>0.0</v>
      </c>
      <c r="W46" s="31">
        <f>IF(W45+AG46-M46&lt;=0.01,0,ROUND(W45+AG46-M46,2))</f>
        <v>0.0</v>
      </c>
      <c r="X46" s="31">
        <f>IF(X45+AH46-N46&lt;=0.01,0,ROUND(X45+AH46-N46,2))</f>
        <v>0.0</v>
      </c>
      <c r="Y46" s="31">
        <f>IF(Y45+AI46-O46&lt;=0.01,0,ROUND(Y45+AI46-O46,2))</f>
        <v>0.0</v>
      </c>
      <c r="Z46" s="31">
        <f>IF(Z45+AJ46-P46&lt;=0.01,0,ROUND(Z45+AJ46-P46,2))</f>
        <v>0.0</v>
      </c>
      <c r="AA46" s="31">
        <f>IF(AA45+AK46-Q46&lt;=0.01,0,ROUND(AA45+AK46-Q46,2))</f>
        <v>0.0</v>
      </c>
      <c r="AB46" s="31">
        <f>ROUND(R45*AB$5/1200,2)</f>
        <v>0.0</v>
      </c>
      <c r="AC46" s="31">
        <f>ROUND(S45*AC$5/1200,2)</f>
        <v>0.0</v>
      </c>
      <c r="AD46" s="31">
        <f>ROUND(T45*AD$5/1200,2)</f>
        <v>0.0</v>
      </c>
      <c r="AE46" s="31">
        <f>ROUND(U45*AE$5/1200,2)</f>
        <v>0.0</v>
      </c>
      <c r="AF46" s="31">
        <f>ROUND(V45*AF$5/1200,2)</f>
        <v>0.0</v>
      </c>
      <c r="AG46" s="31">
        <f>ROUND(W45*AG$5/1200,2)</f>
        <v>0.0</v>
      </c>
      <c r="AH46" s="31">
        <f>ROUND(X45*AH$5/1200,2)</f>
        <v>0.0</v>
      </c>
      <c r="AI46" s="31">
        <f>ROUND(Y45*AI$5/1200,2)</f>
        <v>0.0</v>
      </c>
      <c r="AJ46" s="31">
        <f>ROUND(Z45*AJ$5/1200,2)</f>
        <v>0.0</v>
      </c>
      <c r="AK46" s="31">
        <f>ROUND(AA45*AK$5/1200,2)</f>
        <v>0.0</v>
      </c>
      <c r="AL46" s="31">
        <f>MIN(AL$5,R45+AB46)</f>
        <v>0.0</v>
      </c>
      <c r="AM46" s="31">
        <f>MIN(AM$5,S45+AC46)</f>
        <v>0.0</v>
      </c>
      <c r="AN46" s="31">
        <f>MIN(AN$5,T45+AD46)</f>
        <v>0.0</v>
      </c>
      <c r="AO46" s="31">
        <f>MIN(AO$5,U45+AE46)</f>
        <v>0.0</v>
      </c>
      <c r="AP46" s="31">
        <f>MIN(AP$5,V45+AF46)</f>
        <v>0.0</v>
      </c>
      <c r="AQ46" s="31">
        <f>MIN(AQ$5,W45+AG46)</f>
        <v>0.0</v>
      </c>
      <c r="AR46" s="31">
        <f>MIN(AR$5,X45+AH46)</f>
        <v>0.0</v>
      </c>
      <c r="AS46" s="31">
        <f>MIN(AS$5,Y45+AI46)</f>
        <v>0.0</v>
      </c>
      <c r="AT46" s="31">
        <f>MIN(AT$5,Z45+AJ46)</f>
        <v>0.0</v>
      </c>
      <c r="AU46" s="31">
        <f>MIN(AU$5,AA45+AK46)</f>
        <v>0.0</v>
      </c>
    </row>
    <row r="47">
      <c r="A47" s="25" t="str">
        <f>IF(F46&gt;0.005,42,"")</f>
        <v/>
      </c>
      <c r="B47" s="33" t="str">
        <f>IF(A47="","",EDATE(Долги!$D$5,41))</f>
        <v/>
      </c>
      <c r="C47" s="31">
        <f>SUM(H47:Q47)</f>
        <v>0.0</v>
      </c>
      <c r="D47" s="31">
        <f>SUM(AB47:AK47)</f>
        <v>0.0</v>
      </c>
      <c r="E47" s="31">
        <f>C47-D47</f>
        <v>0.0</v>
      </c>
      <c r="F47" s="31">
        <f>SUM(R47:AA47)</f>
        <v>0.0</v>
      </c>
      <c r="G47" s="34" t="str">
        <f>IF(OR(A47="",$F$5&lt;=0),"",REPT("█",ROUND(20*F47/$F$5,0)))</f>
        <v/>
      </c>
      <c r="H47" s="31">
        <f>AL47+MIN(R46+AB47-AL47,MAX(0,ROUND(Долги!$D$19-SUM($AL47:$AU47),2)))</f>
        <v>0.0</v>
      </c>
      <c r="I47" s="31">
        <f>AM47+MIN(S46+AC47-AM47,MAX(0,ROUND(ROUND(Долги!$D$19-SUM($AL47:$AU47),2)-(SUM($H47:H47)-SUM($AL47:AL47)),2)))</f>
        <v>0.0</v>
      </c>
      <c r="J47" s="31">
        <f>AN47+MIN(T46+AD47-AN47,MAX(0,ROUND(ROUND(Долги!$D$19-SUM($AL47:$AU47),2)-(SUM($H47:I47)-SUM($AL47:AM47)),2)))</f>
        <v>0.0</v>
      </c>
      <c r="K47" s="31">
        <f>AO47+MIN(U46+AE47-AO47,MAX(0,ROUND(ROUND(Долги!$D$19-SUM($AL47:$AU47),2)-(SUM($H47:J47)-SUM($AL47:AN47)),2)))</f>
        <v>0.0</v>
      </c>
      <c r="L47" s="31">
        <f>AP47+MIN(V46+AF47-AP47,MAX(0,ROUND(ROUND(Долги!$D$19-SUM($AL47:$AU47),2)-(SUM($H47:K47)-SUM($AL47:AO47)),2)))</f>
        <v>0.0</v>
      </c>
      <c r="M47" s="31">
        <f>AQ47+MIN(W46+AG47-AQ47,MAX(0,ROUND(ROUND(Долги!$D$19-SUM($AL47:$AU47),2)-(SUM($H47:L47)-SUM($AL47:AP47)),2)))</f>
        <v>0.0</v>
      </c>
      <c r="N47" s="31">
        <f>AR47+MIN(X46+AH47-AR47,MAX(0,ROUND(ROUND(Долги!$D$19-SUM($AL47:$AU47),2)-(SUM($H47:M47)-SUM($AL47:AQ47)),2)))</f>
        <v>0.0</v>
      </c>
      <c r="O47" s="31">
        <f>AS47+MIN(Y46+AI47-AS47,MAX(0,ROUND(ROUND(Долги!$D$19-SUM($AL47:$AU47),2)-(SUM($H47:N47)-SUM($AL47:AR47)),2)))</f>
        <v>0.0</v>
      </c>
      <c r="P47" s="31">
        <f>AT47+MIN(Z46+AJ47-AT47,MAX(0,ROUND(ROUND(Долги!$D$19-SUM($AL47:$AU47),2)-(SUM($H47:O47)-SUM($AL47:AS47)),2)))</f>
        <v>0.0</v>
      </c>
      <c r="Q47" s="31">
        <f>AU47+MIN(AA46+AK47-AU47,MAX(0,ROUND(ROUND(Долги!$D$19-SUM($AL47:$AU47),2)-(SUM($H47:P47)-SUM($AL47:AT47)),2)))</f>
        <v>0.0</v>
      </c>
      <c r="R47" s="31">
        <f>IF(R46+AB47-H47&lt;=0.01,0,ROUND(R46+AB47-H47,2))</f>
        <v>0.0</v>
      </c>
      <c r="S47" s="31">
        <f>IF(S46+AC47-I47&lt;=0.01,0,ROUND(S46+AC47-I47,2))</f>
        <v>0.0</v>
      </c>
      <c r="T47" s="31">
        <f>IF(T46+AD47-J47&lt;=0.01,0,ROUND(T46+AD47-J47,2))</f>
        <v>0.0</v>
      </c>
      <c r="U47" s="31">
        <f>IF(U46+AE47-K47&lt;=0.01,0,ROUND(U46+AE47-K47,2))</f>
        <v>0.0</v>
      </c>
      <c r="V47" s="31">
        <f>IF(V46+AF47-L47&lt;=0.01,0,ROUND(V46+AF47-L47,2))</f>
        <v>0.0</v>
      </c>
      <c r="W47" s="31">
        <f>IF(W46+AG47-M47&lt;=0.01,0,ROUND(W46+AG47-M47,2))</f>
        <v>0.0</v>
      </c>
      <c r="X47" s="31">
        <f>IF(X46+AH47-N47&lt;=0.01,0,ROUND(X46+AH47-N47,2))</f>
        <v>0.0</v>
      </c>
      <c r="Y47" s="31">
        <f>IF(Y46+AI47-O47&lt;=0.01,0,ROUND(Y46+AI47-O47,2))</f>
        <v>0.0</v>
      </c>
      <c r="Z47" s="31">
        <f>IF(Z46+AJ47-P47&lt;=0.01,0,ROUND(Z46+AJ47-P47,2))</f>
        <v>0.0</v>
      </c>
      <c r="AA47" s="31">
        <f>IF(AA46+AK47-Q47&lt;=0.01,0,ROUND(AA46+AK47-Q47,2))</f>
        <v>0.0</v>
      </c>
      <c r="AB47" s="31">
        <f>ROUND(R46*AB$5/1200,2)</f>
        <v>0.0</v>
      </c>
      <c r="AC47" s="31">
        <f>ROUND(S46*AC$5/1200,2)</f>
        <v>0.0</v>
      </c>
      <c r="AD47" s="31">
        <f>ROUND(T46*AD$5/1200,2)</f>
        <v>0.0</v>
      </c>
      <c r="AE47" s="31">
        <f>ROUND(U46*AE$5/1200,2)</f>
        <v>0.0</v>
      </c>
      <c r="AF47" s="31">
        <f>ROUND(V46*AF$5/1200,2)</f>
        <v>0.0</v>
      </c>
      <c r="AG47" s="31">
        <f>ROUND(W46*AG$5/1200,2)</f>
        <v>0.0</v>
      </c>
      <c r="AH47" s="31">
        <f>ROUND(X46*AH$5/1200,2)</f>
        <v>0.0</v>
      </c>
      <c r="AI47" s="31">
        <f>ROUND(Y46*AI$5/1200,2)</f>
        <v>0.0</v>
      </c>
      <c r="AJ47" s="31">
        <f>ROUND(Z46*AJ$5/1200,2)</f>
        <v>0.0</v>
      </c>
      <c r="AK47" s="31">
        <f>ROUND(AA46*AK$5/1200,2)</f>
        <v>0.0</v>
      </c>
      <c r="AL47" s="31">
        <f>MIN(AL$5,R46+AB47)</f>
        <v>0.0</v>
      </c>
      <c r="AM47" s="31">
        <f>MIN(AM$5,S46+AC47)</f>
        <v>0.0</v>
      </c>
      <c r="AN47" s="31">
        <f>MIN(AN$5,T46+AD47)</f>
        <v>0.0</v>
      </c>
      <c r="AO47" s="31">
        <f>MIN(AO$5,U46+AE47)</f>
        <v>0.0</v>
      </c>
      <c r="AP47" s="31">
        <f>MIN(AP$5,V46+AF47)</f>
        <v>0.0</v>
      </c>
      <c r="AQ47" s="31">
        <f>MIN(AQ$5,W46+AG47)</f>
        <v>0.0</v>
      </c>
      <c r="AR47" s="31">
        <f>MIN(AR$5,X46+AH47)</f>
        <v>0.0</v>
      </c>
      <c r="AS47" s="31">
        <f>MIN(AS$5,Y46+AI47)</f>
        <v>0.0</v>
      </c>
      <c r="AT47" s="31">
        <f>MIN(AT$5,Z46+AJ47)</f>
        <v>0.0</v>
      </c>
      <c r="AU47" s="31">
        <f>MIN(AU$5,AA46+AK47)</f>
        <v>0.0</v>
      </c>
    </row>
    <row r="48">
      <c r="A48" s="25" t="str">
        <f>IF(F47&gt;0.005,43,"")</f>
        <v/>
      </c>
      <c r="B48" s="33" t="str">
        <f>IF(A48="","",EDATE(Долги!$D$5,42))</f>
        <v/>
      </c>
      <c r="C48" s="31">
        <f>SUM(H48:Q48)</f>
        <v>0.0</v>
      </c>
      <c r="D48" s="31">
        <f>SUM(AB48:AK48)</f>
        <v>0.0</v>
      </c>
      <c r="E48" s="31">
        <f>C48-D48</f>
        <v>0.0</v>
      </c>
      <c r="F48" s="31">
        <f>SUM(R48:AA48)</f>
        <v>0.0</v>
      </c>
      <c r="G48" s="34" t="str">
        <f>IF(OR(A48="",$F$5&lt;=0),"",REPT("█",ROUND(20*F48/$F$5,0)))</f>
        <v/>
      </c>
      <c r="H48" s="31">
        <f>AL48+MIN(R47+AB48-AL48,MAX(0,ROUND(Долги!$D$19-SUM($AL48:$AU48),2)))</f>
        <v>0.0</v>
      </c>
      <c r="I48" s="31">
        <f>AM48+MIN(S47+AC48-AM48,MAX(0,ROUND(ROUND(Долги!$D$19-SUM($AL48:$AU48),2)-(SUM($H48:H48)-SUM($AL48:AL48)),2)))</f>
        <v>0.0</v>
      </c>
      <c r="J48" s="31">
        <f>AN48+MIN(T47+AD48-AN48,MAX(0,ROUND(ROUND(Долги!$D$19-SUM($AL48:$AU48),2)-(SUM($H48:I48)-SUM($AL48:AM48)),2)))</f>
        <v>0.0</v>
      </c>
      <c r="K48" s="31">
        <f>AO48+MIN(U47+AE48-AO48,MAX(0,ROUND(ROUND(Долги!$D$19-SUM($AL48:$AU48),2)-(SUM($H48:J48)-SUM($AL48:AN48)),2)))</f>
        <v>0.0</v>
      </c>
      <c r="L48" s="31">
        <f>AP48+MIN(V47+AF48-AP48,MAX(0,ROUND(ROUND(Долги!$D$19-SUM($AL48:$AU48),2)-(SUM($H48:K48)-SUM($AL48:AO48)),2)))</f>
        <v>0.0</v>
      </c>
      <c r="M48" s="31">
        <f>AQ48+MIN(W47+AG48-AQ48,MAX(0,ROUND(ROUND(Долги!$D$19-SUM($AL48:$AU48),2)-(SUM($H48:L48)-SUM($AL48:AP48)),2)))</f>
        <v>0.0</v>
      </c>
      <c r="N48" s="31">
        <f>AR48+MIN(X47+AH48-AR48,MAX(0,ROUND(ROUND(Долги!$D$19-SUM($AL48:$AU48),2)-(SUM($H48:M48)-SUM($AL48:AQ48)),2)))</f>
        <v>0.0</v>
      </c>
      <c r="O48" s="31">
        <f>AS48+MIN(Y47+AI48-AS48,MAX(0,ROUND(ROUND(Долги!$D$19-SUM($AL48:$AU48),2)-(SUM($H48:N48)-SUM($AL48:AR48)),2)))</f>
        <v>0.0</v>
      </c>
      <c r="P48" s="31">
        <f>AT48+MIN(Z47+AJ48-AT48,MAX(0,ROUND(ROUND(Долги!$D$19-SUM($AL48:$AU48),2)-(SUM($H48:O48)-SUM($AL48:AS48)),2)))</f>
        <v>0.0</v>
      </c>
      <c r="Q48" s="31">
        <f>AU48+MIN(AA47+AK48-AU48,MAX(0,ROUND(ROUND(Долги!$D$19-SUM($AL48:$AU48),2)-(SUM($H48:P48)-SUM($AL48:AT48)),2)))</f>
        <v>0.0</v>
      </c>
      <c r="R48" s="31">
        <f>IF(R47+AB48-H48&lt;=0.01,0,ROUND(R47+AB48-H48,2))</f>
        <v>0.0</v>
      </c>
      <c r="S48" s="31">
        <f>IF(S47+AC48-I48&lt;=0.01,0,ROUND(S47+AC48-I48,2))</f>
        <v>0.0</v>
      </c>
      <c r="T48" s="31">
        <f>IF(T47+AD48-J48&lt;=0.01,0,ROUND(T47+AD48-J48,2))</f>
        <v>0.0</v>
      </c>
      <c r="U48" s="31">
        <f>IF(U47+AE48-K48&lt;=0.01,0,ROUND(U47+AE48-K48,2))</f>
        <v>0.0</v>
      </c>
      <c r="V48" s="31">
        <f>IF(V47+AF48-L48&lt;=0.01,0,ROUND(V47+AF48-L48,2))</f>
        <v>0.0</v>
      </c>
      <c r="W48" s="31">
        <f>IF(W47+AG48-M48&lt;=0.01,0,ROUND(W47+AG48-M48,2))</f>
        <v>0.0</v>
      </c>
      <c r="X48" s="31">
        <f>IF(X47+AH48-N48&lt;=0.01,0,ROUND(X47+AH48-N48,2))</f>
        <v>0.0</v>
      </c>
      <c r="Y48" s="31">
        <f>IF(Y47+AI48-O48&lt;=0.01,0,ROUND(Y47+AI48-O48,2))</f>
        <v>0.0</v>
      </c>
      <c r="Z48" s="31">
        <f>IF(Z47+AJ48-P48&lt;=0.01,0,ROUND(Z47+AJ48-P48,2))</f>
        <v>0.0</v>
      </c>
      <c r="AA48" s="31">
        <f>IF(AA47+AK48-Q48&lt;=0.01,0,ROUND(AA47+AK48-Q48,2))</f>
        <v>0.0</v>
      </c>
      <c r="AB48" s="31">
        <f>ROUND(R47*AB$5/1200,2)</f>
        <v>0.0</v>
      </c>
      <c r="AC48" s="31">
        <f>ROUND(S47*AC$5/1200,2)</f>
        <v>0.0</v>
      </c>
      <c r="AD48" s="31">
        <f>ROUND(T47*AD$5/1200,2)</f>
        <v>0.0</v>
      </c>
      <c r="AE48" s="31">
        <f>ROUND(U47*AE$5/1200,2)</f>
        <v>0.0</v>
      </c>
      <c r="AF48" s="31">
        <f>ROUND(V47*AF$5/1200,2)</f>
        <v>0.0</v>
      </c>
      <c r="AG48" s="31">
        <f>ROUND(W47*AG$5/1200,2)</f>
        <v>0.0</v>
      </c>
      <c r="AH48" s="31">
        <f>ROUND(X47*AH$5/1200,2)</f>
        <v>0.0</v>
      </c>
      <c r="AI48" s="31">
        <f>ROUND(Y47*AI$5/1200,2)</f>
        <v>0.0</v>
      </c>
      <c r="AJ48" s="31">
        <f>ROUND(Z47*AJ$5/1200,2)</f>
        <v>0.0</v>
      </c>
      <c r="AK48" s="31">
        <f>ROUND(AA47*AK$5/1200,2)</f>
        <v>0.0</v>
      </c>
      <c r="AL48" s="31">
        <f>MIN(AL$5,R47+AB48)</f>
        <v>0.0</v>
      </c>
      <c r="AM48" s="31">
        <f>MIN(AM$5,S47+AC48)</f>
        <v>0.0</v>
      </c>
      <c r="AN48" s="31">
        <f>MIN(AN$5,T47+AD48)</f>
        <v>0.0</v>
      </c>
      <c r="AO48" s="31">
        <f>MIN(AO$5,U47+AE48)</f>
        <v>0.0</v>
      </c>
      <c r="AP48" s="31">
        <f>MIN(AP$5,V47+AF48)</f>
        <v>0.0</v>
      </c>
      <c r="AQ48" s="31">
        <f>MIN(AQ$5,W47+AG48)</f>
        <v>0.0</v>
      </c>
      <c r="AR48" s="31">
        <f>MIN(AR$5,X47+AH48)</f>
        <v>0.0</v>
      </c>
      <c r="AS48" s="31">
        <f>MIN(AS$5,Y47+AI48)</f>
        <v>0.0</v>
      </c>
      <c r="AT48" s="31">
        <f>MIN(AT$5,Z47+AJ48)</f>
        <v>0.0</v>
      </c>
      <c r="AU48" s="31">
        <f>MIN(AU$5,AA47+AK48)</f>
        <v>0.0</v>
      </c>
    </row>
    <row r="49">
      <c r="A49" s="25" t="str">
        <f>IF(F48&gt;0.005,44,"")</f>
        <v/>
      </c>
      <c r="B49" s="33" t="str">
        <f>IF(A49="","",EDATE(Долги!$D$5,43))</f>
        <v/>
      </c>
      <c r="C49" s="31">
        <f>SUM(H49:Q49)</f>
        <v>0.0</v>
      </c>
      <c r="D49" s="31">
        <f>SUM(AB49:AK49)</f>
        <v>0.0</v>
      </c>
      <c r="E49" s="31">
        <f>C49-D49</f>
        <v>0.0</v>
      </c>
      <c r="F49" s="31">
        <f>SUM(R49:AA49)</f>
        <v>0.0</v>
      </c>
      <c r="G49" s="34" t="str">
        <f>IF(OR(A49="",$F$5&lt;=0),"",REPT("█",ROUND(20*F49/$F$5,0)))</f>
        <v/>
      </c>
      <c r="H49" s="31">
        <f>AL49+MIN(R48+AB49-AL49,MAX(0,ROUND(Долги!$D$19-SUM($AL49:$AU49),2)))</f>
        <v>0.0</v>
      </c>
      <c r="I49" s="31">
        <f>AM49+MIN(S48+AC49-AM49,MAX(0,ROUND(ROUND(Долги!$D$19-SUM($AL49:$AU49),2)-(SUM($H49:H49)-SUM($AL49:AL49)),2)))</f>
        <v>0.0</v>
      </c>
      <c r="J49" s="31">
        <f>AN49+MIN(T48+AD49-AN49,MAX(0,ROUND(ROUND(Долги!$D$19-SUM($AL49:$AU49),2)-(SUM($H49:I49)-SUM($AL49:AM49)),2)))</f>
        <v>0.0</v>
      </c>
      <c r="K49" s="31">
        <f>AO49+MIN(U48+AE49-AO49,MAX(0,ROUND(ROUND(Долги!$D$19-SUM($AL49:$AU49),2)-(SUM($H49:J49)-SUM($AL49:AN49)),2)))</f>
        <v>0.0</v>
      </c>
      <c r="L49" s="31">
        <f>AP49+MIN(V48+AF49-AP49,MAX(0,ROUND(ROUND(Долги!$D$19-SUM($AL49:$AU49),2)-(SUM($H49:K49)-SUM($AL49:AO49)),2)))</f>
        <v>0.0</v>
      </c>
      <c r="M49" s="31">
        <f>AQ49+MIN(W48+AG49-AQ49,MAX(0,ROUND(ROUND(Долги!$D$19-SUM($AL49:$AU49),2)-(SUM($H49:L49)-SUM($AL49:AP49)),2)))</f>
        <v>0.0</v>
      </c>
      <c r="N49" s="31">
        <f>AR49+MIN(X48+AH49-AR49,MAX(0,ROUND(ROUND(Долги!$D$19-SUM($AL49:$AU49),2)-(SUM($H49:M49)-SUM($AL49:AQ49)),2)))</f>
        <v>0.0</v>
      </c>
      <c r="O49" s="31">
        <f>AS49+MIN(Y48+AI49-AS49,MAX(0,ROUND(ROUND(Долги!$D$19-SUM($AL49:$AU49),2)-(SUM($H49:N49)-SUM($AL49:AR49)),2)))</f>
        <v>0.0</v>
      </c>
      <c r="P49" s="31">
        <f>AT49+MIN(Z48+AJ49-AT49,MAX(0,ROUND(ROUND(Долги!$D$19-SUM($AL49:$AU49),2)-(SUM($H49:O49)-SUM($AL49:AS49)),2)))</f>
        <v>0.0</v>
      </c>
      <c r="Q49" s="31">
        <f>AU49+MIN(AA48+AK49-AU49,MAX(0,ROUND(ROUND(Долги!$D$19-SUM($AL49:$AU49),2)-(SUM($H49:P49)-SUM($AL49:AT49)),2)))</f>
        <v>0.0</v>
      </c>
      <c r="R49" s="31">
        <f>IF(R48+AB49-H49&lt;=0.01,0,ROUND(R48+AB49-H49,2))</f>
        <v>0.0</v>
      </c>
      <c r="S49" s="31">
        <f>IF(S48+AC49-I49&lt;=0.01,0,ROUND(S48+AC49-I49,2))</f>
        <v>0.0</v>
      </c>
      <c r="T49" s="31">
        <f>IF(T48+AD49-J49&lt;=0.01,0,ROUND(T48+AD49-J49,2))</f>
        <v>0.0</v>
      </c>
      <c r="U49" s="31">
        <f>IF(U48+AE49-K49&lt;=0.01,0,ROUND(U48+AE49-K49,2))</f>
        <v>0.0</v>
      </c>
      <c r="V49" s="31">
        <f>IF(V48+AF49-L49&lt;=0.01,0,ROUND(V48+AF49-L49,2))</f>
        <v>0.0</v>
      </c>
      <c r="W49" s="31">
        <f>IF(W48+AG49-M49&lt;=0.01,0,ROUND(W48+AG49-M49,2))</f>
        <v>0.0</v>
      </c>
      <c r="X49" s="31">
        <f>IF(X48+AH49-N49&lt;=0.01,0,ROUND(X48+AH49-N49,2))</f>
        <v>0.0</v>
      </c>
      <c r="Y49" s="31">
        <f>IF(Y48+AI49-O49&lt;=0.01,0,ROUND(Y48+AI49-O49,2))</f>
        <v>0.0</v>
      </c>
      <c r="Z49" s="31">
        <f>IF(Z48+AJ49-P49&lt;=0.01,0,ROUND(Z48+AJ49-P49,2))</f>
        <v>0.0</v>
      </c>
      <c r="AA49" s="31">
        <f>IF(AA48+AK49-Q49&lt;=0.01,0,ROUND(AA48+AK49-Q49,2))</f>
        <v>0.0</v>
      </c>
      <c r="AB49" s="31">
        <f>ROUND(R48*AB$5/1200,2)</f>
        <v>0.0</v>
      </c>
      <c r="AC49" s="31">
        <f>ROUND(S48*AC$5/1200,2)</f>
        <v>0.0</v>
      </c>
      <c r="AD49" s="31">
        <f>ROUND(T48*AD$5/1200,2)</f>
        <v>0.0</v>
      </c>
      <c r="AE49" s="31">
        <f>ROUND(U48*AE$5/1200,2)</f>
        <v>0.0</v>
      </c>
      <c r="AF49" s="31">
        <f>ROUND(V48*AF$5/1200,2)</f>
        <v>0.0</v>
      </c>
      <c r="AG49" s="31">
        <f>ROUND(W48*AG$5/1200,2)</f>
        <v>0.0</v>
      </c>
      <c r="AH49" s="31">
        <f>ROUND(X48*AH$5/1200,2)</f>
        <v>0.0</v>
      </c>
      <c r="AI49" s="31">
        <f>ROUND(Y48*AI$5/1200,2)</f>
        <v>0.0</v>
      </c>
      <c r="AJ49" s="31">
        <f>ROUND(Z48*AJ$5/1200,2)</f>
        <v>0.0</v>
      </c>
      <c r="AK49" s="31">
        <f>ROUND(AA48*AK$5/1200,2)</f>
        <v>0.0</v>
      </c>
      <c r="AL49" s="31">
        <f>MIN(AL$5,R48+AB49)</f>
        <v>0.0</v>
      </c>
      <c r="AM49" s="31">
        <f>MIN(AM$5,S48+AC49)</f>
        <v>0.0</v>
      </c>
      <c r="AN49" s="31">
        <f>MIN(AN$5,T48+AD49)</f>
        <v>0.0</v>
      </c>
      <c r="AO49" s="31">
        <f>MIN(AO$5,U48+AE49)</f>
        <v>0.0</v>
      </c>
      <c r="AP49" s="31">
        <f>MIN(AP$5,V48+AF49)</f>
        <v>0.0</v>
      </c>
      <c r="AQ49" s="31">
        <f>MIN(AQ$5,W48+AG49)</f>
        <v>0.0</v>
      </c>
      <c r="AR49" s="31">
        <f>MIN(AR$5,X48+AH49)</f>
        <v>0.0</v>
      </c>
      <c r="AS49" s="31">
        <f>MIN(AS$5,Y48+AI49)</f>
        <v>0.0</v>
      </c>
      <c r="AT49" s="31">
        <f>MIN(AT$5,Z48+AJ49)</f>
        <v>0.0</v>
      </c>
      <c r="AU49" s="31">
        <f>MIN(AU$5,AA48+AK49)</f>
        <v>0.0</v>
      </c>
    </row>
    <row r="50">
      <c r="A50" s="25" t="str">
        <f>IF(F49&gt;0.005,45,"")</f>
        <v/>
      </c>
      <c r="B50" s="33" t="str">
        <f>IF(A50="","",EDATE(Долги!$D$5,44))</f>
        <v/>
      </c>
      <c r="C50" s="31">
        <f>SUM(H50:Q50)</f>
        <v>0.0</v>
      </c>
      <c r="D50" s="31">
        <f>SUM(AB50:AK50)</f>
        <v>0.0</v>
      </c>
      <c r="E50" s="31">
        <f>C50-D50</f>
        <v>0.0</v>
      </c>
      <c r="F50" s="31">
        <f>SUM(R50:AA50)</f>
        <v>0.0</v>
      </c>
      <c r="G50" s="34" t="str">
        <f>IF(OR(A50="",$F$5&lt;=0),"",REPT("█",ROUND(20*F50/$F$5,0)))</f>
        <v/>
      </c>
      <c r="H50" s="31">
        <f>AL50+MIN(R49+AB50-AL50,MAX(0,ROUND(Долги!$D$19-SUM($AL50:$AU50),2)))</f>
        <v>0.0</v>
      </c>
      <c r="I50" s="31">
        <f>AM50+MIN(S49+AC50-AM50,MAX(0,ROUND(ROUND(Долги!$D$19-SUM($AL50:$AU50),2)-(SUM($H50:H50)-SUM($AL50:AL50)),2)))</f>
        <v>0.0</v>
      </c>
      <c r="J50" s="31">
        <f>AN50+MIN(T49+AD50-AN50,MAX(0,ROUND(ROUND(Долги!$D$19-SUM($AL50:$AU50),2)-(SUM($H50:I50)-SUM($AL50:AM50)),2)))</f>
        <v>0.0</v>
      </c>
      <c r="K50" s="31">
        <f>AO50+MIN(U49+AE50-AO50,MAX(0,ROUND(ROUND(Долги!$D$19-SUM($AL50:$AU50),2)-(SUM($H50:J50)-SUM($AL50:AN50)),2)))</f>
        <v>0.0</v>
      </c>
      <c r="L50" s="31">
        <f>AP50+MIN(V49+AF50-AP50,MAX(0,ROUND(ROUND(Долги!$D$19-SUM($AL50:$AU50),2)-(SUM($H50:K50)-SUM($AL50:AO50)),2)))</f>
        <v>0.0</v>
      </c>
      <c r="M50" s="31">
        <f>AQ50+MIN(W49+AG50-AQ50,MAX(0,ROUND(ROUND(Долги!$D$19-SUM($AL50:$AU50),2)-(SUM($H50:L50)-SUM($AL50:AP50)),2)))</f>
        <v>0.0</v>
      </c>
      <c r="N50" s="31">
        <f>AR50+MIN(X49+AH50-AR50,MAX(0,ROUND(ROUND(Долги!$D$19-SUM($AL50:$AU50),2)-(SUM($H50:M50)-SUM($AL50:AQ50)),2)))</f>
        <v>0.0</v>
      </c>
      <c r="O50" s="31">
        <f>AS50+MIN(Y49+AI50-AS50,MAX(0,ROUND(ROUND(Долги!$D$19-SUM($AL50:$AU50),2)-(SUM($H50:N50)-SUM($AL50:AR50)),2)))</f>
        <v>0.0</v>
      </c>
      <c r="P50" s="31">
        <f>AT50+MIN(Z49+AJ50-AT50,MAX(0,ROUND(ROUND(Долги!$D$19-SUM($AL50:$AU50),2)-(SUM($H50:O50)-SUM($AL50:AS50)),2)))</f>
        <v>0.0</v>
      </c>
      <c r="Q50" s="31">
        <f>AU50+MIN(AA49+AK50-AU50,MAX(0,ROUND(ROUND(Долги!$D$19-SUM($AL50:$AU50),2)-(SUM($H50:P50)-SUM($AL50:AT50)),2)))</f>
        <v>0.0</v>
      </c>
      <c r="R50" s="31">
        <f>IF(R49+AB50-H50&lt;=0.01,0,ROUND(R49+AB50-H50,2))</f>
        <v>0.0</v>
      </c>
      <c r="S50" s="31">
        <f>IF(S49+AC50-I50&lt;=0.01,0,ROUND(S49+AC50-I50,2))</f>
        <v>0.0</v>
      </c>
      <c r="T50" s="31">
        <f>IF(T49+AD50-J50&lt;=0.01,0,ROUND(T49+AD50-J50,2))</f>
        <v>0.0</v>
      </c>
      <c r="U50" s="31">
        <f>IF(U49+AE50-K50&lt;=0.01,0,ROUND(U49+AE50-K50,2))</f>
        <v>0.0</v>
      </c>
      <c r="V50" s="31">
        <f>IF(V49+AF50-L50&lt;=0.01,0,ROUND(V49+AF50-L50,2))</f>
        <v>0.0</v>
      </c>
      <c r="W50" s="31">
        <f>IF(W49+AG50-M50&lt;=0.01,0,ROUND(W49+AG50-M50,2))</f>
        <v>0.0</v>
      </c>
      <c r="X50" s="31">
        <f>IF(X49+AH50-N50&lt;=0.01,0,ROUND(X49+AH50-N50,2))</f>
        <v>0.0</v>
      </c>
      <c r="Y50" s="31">
        <f>IF(Y49+AI50-O50&lt;=0.01,0,ROUND(Y49+AI50-O50,2))</f>
        <v>0.0</v>
      </c>
      <c r="Z50" s="31">
        <f>IF(Z49+AJ50-P50&lt;=0.01,0,ROUND(Z49+AJ50-P50,2))</f>
        <v>0.0</v>
      </c>
      <c r="AA50" s="31">
        <f>IF(AA49+AK50-Q50&lt;=0.01,0,ROUND(AA49+AK50-Q50,2))</f>
        <v>0.0</v>
      </c>
      <c r="AB50" s="31">
        <f>ROUND(R49*AB$5/1200,2)</f>
        <v>0.0</v>
      </c>
      <c r="AC50" s="31">
        <f>ROUND(S49*AC$5/1200,2)</f>
        <v>0.0</v>
      </c>
      <c r="AD50" s="31">
        <f>ROUND(T49*AD$5/1200,2)</f>
        <v>0.0</v>
      </c>
      <c r="AE50" s="31">
        <f>ROUND(U49*AE$5/1200,2)</f>
        <v>0.0</v>
      </c>
      <c r="AF50" s="31">
        <f>ROUND(V49*AF$5/1200,2)</f>
        <v>0.0</v>
      </c>
      <c r="AG50" s="31">
        <f>ROUND(W49*AG$5/1200,2)</f>
        <v>0.0</v>
      </c>
      <c r="AH50" s="31">
        <f>ROUND(X49*AH$5/1200,2)</f>
        <v>0.0</v>
      </c>
      <c r="AI50" s="31">
        <f>ROUND(Y49*AI$5/1200,2)</f>
        <v>0.0</v>
      </c>
      <c r="AJ50" s="31">
        <f>ROUND(Z49*AJ$5/1200,2)</f>
        <v>0.0</v>
      </c>
      <c r="AK50" s="31">
        <f>ROUND(AA49*AK$5/1200,2)</f>
        <v>0.0</v>
      </c>
      <c r="AL50" s="31">
        <f>MIN(AL$5,R49+AB50)</f>
        <v>0.0</v>
      </c>
      <c r="AM50" s="31">
        <f>MIN(AM$5,S49+AC50)</f>
        <v>0.0</v>
      </c>
      <c r="AN50" s="31">
        <f>MIN(AN$5,T49+AD50)</f>
        <v>0.0</v>
      </c>
      <c r="AO50" s="31">
        <f>MIN(AO$5,U49+AE50)</f>
        <v>0.0</v>
      </c>
      <c r="AP50" s="31">
        <f>MIN(AP$5,V49+AF50)</f>
        <v>0.0</v>
      </c>
      <c r="AQ50" s="31">
        <f>MIN(AQ$5,W49+AG50)</f>
        <v>0.0</v>
      </c>
      <c r="AR50" s="31">
        <f>MIN(AR$5,X49+AH50)</f>
        <v>0.0</v>
      </c>
      <c r="AS50" s="31">
        <f>MIN(AS$5,Y49+AI50)</f>
        <v>0.0</v>
      </c>
      <c r="AT50" s="31">
        <f>MIN(AT$5,Z49+AJ50)</f>
        <v>0.0</v>
      </c>
      <c r="AU50" s="31">
        <f>MIN(AU$5,AA49+AK50)</f>
        <v>0.0</v>
      </c>
    </row>
    <row r="51">
      <c r="A51" s="25" t="str">
        <f>IF(F50&gt;0.005,46,"")</f>
        <v/>
      </c>
      <c r="B51" s="33" t="str">
        <f>IF(A51="","",EDATE(Долги!$D$5,45))</f>
        <v/>
      </c>
      <c r="C51" s="31">
        <f>SUM(H51:Q51)</f>
        <v>0.0</v>
      </c>
      <c r="D51" s="31">
        <f>SUM(AB51:AK51)</f>
        <v>0.0</v>
      </c>
      <c r="E51" s="31">
        <f>C51-D51</f>
        <v>0.0</v>
      </c>
      <c r="F51" s="31">
        <f>SUM(R51:AA51)</f>
        <v>0.0</v>
      </c>
      <c r="G51" s="34" t="str">
        <f>IF(OR(A51="",$F$5&lt;=0),"",REPT("█",ROUND(20*F51/$F$5,0)))</f>
        <v/>
      </c>
      <c r="H51" s="31">
        <f>AL51+MIN(R50+AB51-AL51,MAX(0,ROUND(Долги!$D$19-SUM($AL51:$AU51),2)))</f>
        <v>0.0</v>
      </c>
      <c r="I51" s="31">
        <f>AM51+MIN(S50+AC51-AM51,MAX(0,ROUND(ROUND(Долги!$D$19-SUM($AL51:$AU51),2)-(SUM($H51:H51)-SUM($AL51:AL51)),2)))</f>
        <v>0.0</v>
      </c>
      <c r="J51" s="31">
        <f>AN51+MIN(T50+AD51-AN51,MAX(0,ROUND(ROUND(Долги!$D$19-SUM($AL51:$AU51),2)-(SUM($H51:I51)-SUM($AL51:AM51)),2)))</f>
        <v>0.0</v>
      </c>
      <c r="K51" s="31">
        <f>AO51+MIN(U50+AE51-AO51,MAX(0,ROUND(ROUND(Долги!$D$19-SUM($AL51:$AU51),2)-(SUM($H51:J51)-SUM($AL51:AN51)),2)))</f>
        <v>0.0</v>
      </c>
      <c r="L51" s="31">
        <f>AP51+MIN(V50+AF51-AP51,MAX(0,ROUND(ROUND(Долги!$D$19-SUM($AL51:$AU51),2)-(SUM($H51:K51)-SUM($AL51:AO51)),2)))</f>
        <v>0.0</v>
      </c>
      <c r="M51" s="31">
        <f>AQ51+MIN(W50+AG51-AQ51,MAX(0,ROUND(ROUND(Долги!$D$19-SUM($AL51:$AU51),2)-(SUM($H51:L51)-SUM($AL51:AP51)),2)))</f>
        <v>0.0</v>
      </c>
      <c r="N51" s="31">
        <f>AR51+MIN(X50+AH51-AR51,MAX(0,ROUND(ROUND(Долги!$D$19-SUM($AL51:$AU51),2)-(SUM($H51:M51)-SUM($AL51:AQ51)),2)))</f>
        <v>0.0</v>
      </c>
      <c r="O51" s="31">
        <f>AS51+MIN(Y50+AI51-AS51,MAX(0,ROUND(ROUND(Долги!$D$19-SUM($AL51:$AU51),2)-(SUM($H51:N51)-SUM($AL51:AR51)),2)))</f>
        <v>0.0</v>
      </c>
      <c r="P51" s="31">
        <f>AT51+MIN(Z50+AJ51-AT51,MAX(0,ROUND(ROUND(Долги!$D$19-SUM($AL51:$AU51),2)-(SUM($H51:O51)-SUM($AL51:AS51)),2)))</f>
        <v>0.0</v>
      </c>
      <c r="Q51" s="31">
        <f>AU51+MIN(AA50+AK51-AU51,MAX(0,ROUND(ROUND(Долги!$D$19-SUM($AL51:$AU51),2)-(SUM($H51:P51)-SUM($AL51:AT51)),2)))</f>
        <v>0.0</v>
      </c>
      <c r="R51" s="31">
        <f>IF(R50+AB51-H51&lt;=0.01,0,ROUND(R50+AB51-H51,2))</f>
        <v>0.0</v>
      </c>
      <c r="S51" s="31">
        <f>IF(S50+AC51-I51&lt;=0.01,0,ROUND(S50+AC51-I51,2))</f>
        <v>0.0</v>
      </c>
      <c r="T51" s="31">
        <f>IF(T50+AD51-J51&lt;=0.01,0,ROUND(T50+AD51-J51,2))</f>
        <v>0.0</v>
      </c>
      <c r="U51" s="31">
        <f>IF(U50+AE51-K51&lt;=0.01,0,ROUND(U50+AE51-K51,2))</f>
        <v>0.0</v>
      </c>
      <c r="V51" s="31">
        <f>IF(V50+AF51-L51&lt;=0.01,0,ROUND(V50+AF51-L51,2))</f>
        <v>0.0</v>
      </c>
      <c r="W51" s="31">
        <f>IF(W50+AG51-M51&lt;=0.01,0,ROUND(W50+AG51-M51,2))</f>
        <v>0.0</v>
      </c>
      <c r="X51" s="31">
        <f>IF(X50+AH51-N51&lt;=0.01,0,ROUND(X50+AH51-N51,2))</f>
        <v>0.0</v>
      </c>
      <c r="Y51" s="31">
        <f>IF(Y50+AI51-O51&lt;=0.01,0,ROUND(Y50+AI51-O51,2))</f>
        <v>0.0</v>
      </c>
      <c r="Z51" s="31">
        <f>IF(Z50+AJ51-P51&lt;=0.01,0,ROUND(Z50+AJ51-P51,2))</f>
        <v>0.0</v>
      </c>
      <c r="AA51" s="31">
        <f>IF(AA50+AK51-Q51&lt;=0.01,0,ROUND(AA50+AK51-Q51,2))</f>
        <v>0.0</v>
      </c>
      <c r="AB51" s="31">
        <f>ROUND(R50*AB$5/1200,2)</f>
        <v>0.0</v>
      </c>
      <c r="AC51" s="31">
        <f>ROUND(S50*AC$5/1200,2)</f>
        <v>0.0</v>
      </c>
      <c r="AD51" s="31">
        <f>ROUND(T50*AD$5/1200,2)</f>
        <v>0.0</v>
      </c>
      <c r="AE51" s="31">
        <f>ROUND(U50*AE$5/1200,2)</f>
        <v>0.0</v>
      </c>
      <c r="AF51" s="31">
        <f>ROUND(V50*AF$5/1200,2)</f>
        <v>0.0</v>
      </c>
      <c r="AG51" s="31">
        <f>ROUND(W50*AG$5/1200,2)</f>
        <v>0.0</v>
      </c>
      <c r="AH51" s="31">
        <f>ROUND(X50*AH$5/1200,2)</f>
        <v>0.0</v>
      </c>
      <c r="AI51" s="31">
        <f>ROUND(Y50*AI$5/1200,2)</f>
        <v>0.0</v>
      </c>
      <c r="AJ51" s="31">
        <f>ROUND(Z50*AJ$5/1200,2)</f>
        <v>0.0</v>
      </c>
      <c r="AK51" s="31">
        <f>ROUND(AA50*AK$5/1200,2)</f>
        <v>0.0</v>
      </c>
      <c r="AL51" s="31">
        <f>MIN(AL$5,R50+AB51)</f>
        <v>0.0</v>
      </c>
      <c r="AM51" s="31">
        <f>MIN(AM$5,S50+AC51)</f>
        <v>0.0</v>
      </c>
      <c r="AN51" s="31">
        <f>MIN(AN$5,T50+AD51)</f>
        <v>0.0</v>
      </c>
      <c r="AO51" s="31">
        <f>MIN(AO$5,U50+AE51)</f>
        <v>0.0</v>
      </c>
      <c r="AP51" s="31">
        <f>MIN(AP$5,V50+AF51)</f>
        <v>0.0</v>
      </c>
      <c r="AQ51" s="31">
        <f>MIN(AQ$5,W50+AG51)</f>
        <v>0.0</v>
      </c>
      <c r="AR51" s="31">
        <f>MIN(AR$5,X50+AH51)</f>
        <v>0.0</v>
      </c>
      <c r="AS51" s="31">
        <f>MIN(AS$5,Y50+AI51)</f>
        <v>0.0</v>
      </c>
      <c r="AT51" s="31">
        <f>MIN(AT$5,Z50+AJ51)</f>
        <v>0.0</v>
      </c>
      <c r="AU51" s="31">
        <f>MIN(AU$5,AA50+AK51)</f>
        <v>0.0</v>
      </c>
    </row>
    <row r="52">
      <c r="A52" s="25" t="str">
        <f>IF(F51&gt;0.005,47,"")</f>
        <v/>
      </c>
      <c r="B52" s="33" t="str">
        <f>IF(A52="","",EDATE(Долги!$D$5,46))</f>
        <v/>
      </c>
      <c r="C52" s="31">
        <f>SUM(H52:Q52)</f>
        <v>0.0</v>
      </c>
      <c r="D52" s="31">
        <f>SUM(AB52:AK52)</f>
        <v>0.0</v>
      </c>
      <c r="E52" s="31">
        <f>C52-D52</f>
        <v>0.0</v>
      </c>
      <c r="F52" s="31">
        <f>SUM(R52:AA52)</f>
        <v>0.0</v>
      </c>
      <c r="G52" s="34" t="str">
        <f>IF(OR(A52="",$F$5&lt;=0),"",REPT("█",ROUND(20*F52/$F$5,0)))</f>
        <v/>
      </c>
      <c r="H52" s="31">
        <f>AL52+MIN(R51+AB52-AL52,MAX(0,ROUND(Долги!$D$19-SUM($AL52:$AU52),2)))</f>
        <v>0.0</v>
      </c>
      <c r="I52" s="31">
        <f>AM52+MIN(S51+AC52-AM52,MAX(0,ROUND(ROUND(Долги!$D$19-SUM($AL52:$AU52),2)-(SUM($H52:H52)-SUM($AL52:AL52)),2)))</f>
        <v>0.0</v>
      </c>
      <c r="J52" s="31">
        <f>AN52+MIN(T51+AD52-AN52,MAX(0,ROUND(ROUND(Долги!$D$19-SUM($AL52:$AU52),2)-(SUM($H52:I52)-SUM($AL52:AM52)),2)))</f>
        <v>0.0</v>
      </c>
      <c r="K52" s="31">
        <f>AO52+MIN(U51+AE52-AO52,MAX(0,ROUND(ROUND(Долги!$D$19-SUM($AL52:$AU52),2)-(SUM($H52:J52)-SUM($AL52:AN52)),2)))</f>
        <v>0.0</v>
      </c>
      <c r="L52" s="31">
        <f>AP52+MIN(V51+AF52-AP52,MAX(0,ROUND(ROUND(Долги!$D$19-SUM($AL52:$AU52),2)-(SUM($H52:K52)-SUM($AL52:AO52)),2)))</f>
        <v>0.0</v>
      </c>
      <c r="M52" s="31">
        <f>AQ52+MIN(W51+AG52-AQ52,MAX(0,ROUND(ROUND(Долги!$D$19-SUM($AL52:$AU52),2)-(SUM($H52:L52)-SUM($AL52:AP52)),2)))</f>
        <v>0.0</v>
      </c>
      <c r="N52" s="31">
        <f>AR52+MIN(X51+AH52-AR52,MAX(0,ROUND(ROUND(Долги!$D$19-SUM($AL52:$AU52),2)-(SUM($H52:M52)-SUM($AL52:AQ52)),2)))</f>
        <v>0.0</v>
      </c>
      <c r="O52" s="31">
        <f>AS52+MIN(Y51+AI52-AS52,MAX(0,ROUND(ROUND(Долги!$D$19-SUM($AL52:$AU52),2)-(SUM($H52:N52)-SUM($AL52:AR52)),2)))</f>
        <v>0.0</v>
      </c>
      <c r="P52" s="31">
        <f>AT52+MIN(Z51+AJ52-AT52,MAX(0,ROUND(ROUND(Долги!$D$19-SUM($AL52:$AU52),2)-(SUM($H52:O52)-SUM($AL52:AS52)),2)))</f>
        <v>0.0</v>
      </c>
      <c r="Q52" s="31">
        <f>AU52+MIN(AA51+AK52-AU52,MAX(0,ROUND(ROUND(Долги!$D$19-SUM($AL52:$AU52),2)-(SUM($H52:P52)-SUM($AL52:AT52)),2)))</f>
        <v>0.0</v>
      </c>
      <c r="R52" s="31">
        <f>IF(R51+AB52-H52&lt;=0.01,0,ROUND(R51+AB52-H52,2))</f>
        <v>0.0</v>
      </c>
      <c r="S52" s="31">
        <f>IF(S51+AC52-I52&lt;=0.01,0,ROUND(S51+AC52-I52,2))</f>
        <v>0.0</v>
      </c>
      <c r="T52" s="31">
        <f>IF(T51+AD52-J52&lt;=0.01,0,ROUND(T51+AD52-J52,2))</f>
        <v>0.0</v>
      </c>
      <c r="U52" s="31">
        <f>IF(U51+AE52-K52&lt;=0.01,0,ROUND(U51+AE52-K52,2))</f>
        <v>0.0</v>
      </c>
      <c r="V52" s="31">
        <f>IF(V51+AF52-L52&lt;=0.01,0,ROUND(V51+AF52-L52,2))</f>
        <v>0.0</v>
      </c>
      <c r="W52" s="31">
        <f>IF(W51+AG52-M52&lt;=0.01,0,ROUND(W51+AG52-M52,2))</f>
        <v>0.0</v>
      </c>
      <c r="X52" s="31">
        <f>IF(X51+AH52-N52&lt;=0.01,0,ROUND(X51+AH52-N52,2))</f>
        <v>0.0</v>
      </c>
      <c r="Y52" s="31">
        <f>IF(Y51+AI52-O52&lt;=0.01,0,ROUND(Y51+AI52-O52,2))</f>
        <v>0.0</v>
      </c>
      <c r="Z52" s="31">
        <f>IF(Z51+AJ52-P52&lt;=0.01,0,ROUND(Z51+AJ52-P52,2))</f>
        <v>0.0</v>
      </c>
      <c r="AA52" s="31">
        <f>IF(AA51+AK52-Q52&lt;=0.01,0,ROUND(AA51+AK52-Q52,2))</f>
        <v>0.0</v>
      </c>
      <c r="AB52" s="31">
        <f>ROUND(R51*AB$5/1200,2)</f>
        <v>0.0</v>
      </c>
      <c r="AC52" s="31">
        <f>ROUND(S51*AC$5/1200,2)</f>
        <v>0.0</v>
      </c>
      <c r="AD52" s="31">
        <f>ROUND(T51*AD$5/1200,2)</f>
        <v>0.0</v>
      </c>
      <c r="AE52" s="31">
        <f>ROUND(U51*AE$5/1200,2)</f>
        <v>0.0</v>
      </c>
      <c r="AF52" s="31">
        <f>ROUND(V51*AF$5/1200,2)</f>
        <v>0.0</v>
      </c>
      <c r="AG52" s="31">
        <f>ROUND(W51*AG$5/1200,2)</f>
        <v>0.0</v>
      </c>
      <c r="AH52" s="31">
        <f>ROUND(X51*AH$5/1200,2)</f>
        <v>0.0</v>
      </c>
      <c r="AI52" s="31">
        <f>ROUND(Y51*AI$5/1200,2)</f>
        <v>0.0</v>
      </c>
      <c r="AJ52" s="31">
        <f>ROUND(Z51*AJ$5/1200,2)</f>
        <v>0.0</v>
      </c>
      <c r="AK52" s="31">
        <f>ROUND(AA51*AK$5/1200,2)</f>
        <v>0.0</v>
      </c>
      <c r="AL52" s="31">
        <f>MIN(AL$5,R51+AB52)</f>
        <v>0.0</v>
      </c>
      <c r="AM52" s="31">
        <f>MIN(AM$5,S51+AC52)</f>
        <v>0.0</v>
      </c>
      <c r="AN52" s="31">
        <f>MIN(AN$5,T51+AD52)</f>
        <v>0.0</v>
      </c>
      <c r="AO52" s="31">
        <f>MIN(AO$5,U51+AE52)</f>
        <v>0.0</v>
      </c>
      <c r="AP52" s="31">
        <f>MIN(AP$5,V51+AF52)</f>
        <v>0.0</v>
      </c>
      <c r="AQ52" s="31">
        <f>MIN(AQ$5,W51+AG52)</f>
        <v>0.0</v>
      </c>
      <c r="AR52" s="31">
        <f>MIN(AR$5,X51+AH52)</f>
        <v>0.0</v>
      </c>
      <c r="AS52" s="31">
        <f>MIN(AS$5,Y51+AI52)</f>
        <v>0.0</v>
      </c>
      <c r="AT52" s="31">
        <f>MIN(AT$5,Z51+AJ52)</f>
        <v>0.0</v>
      </c>
      <c r="AU52" s="31">
        <f>MIN(AU$5,AA51+AK52)</f>
        <v>0.0</v>
      </c>
    </row>
    <row r="53">
      <c r="A53" s="25" t="str">
        <f>IF(F52&gt;0.005,48,"")</f>
        <v/>
      </c>
      <c r="B53" s="33" t="str">
        <f>IF(A53="","",EDATE(Долги!$D$5,47))</f>
        <v/>
      </c>
      <c r="C53" s="31">
        <f>SUM(H53:Q53)</f>
        <v>0.0</v>
      </c>
      <c r="D53" s="31">
        <f>SUM(AB53:AK53)</f>
        <v>0.0</v>
      </c>
      <c r="E53" s="31">
        <f>C53-D53</f>
        <v>0.0</v>
      </c>
      <c r="F53" s="31">
        <f>SUM(R53:AA53)</f>
        <v>0.0</v>
      </c>
      <c r="G53" s="34" t="str">
        <f>IF(OR(A53="",$F$5&lt;=0),"",REPT("█",ROUND(20*F53/$F$5,0)))</f>
        <v/>
      </c>
      <c r="H53" s="31">
        <f>AL53+MIN(R52+AB53-AL53,MAX(0,ROUND(Долги!$D$19-SUM($AL53:$AU53),2)))</f>
        <v>0.0</v>
      </c>
      <c r="I53" s="31">
        <f>AM53+MIN(S52+AC53-AM53,MAX(0,ROUND(ROUND(Долги!$D$19-SUM($AL53:$AU53),2)-(SUM($H53:H53)-SUM($AL53:AL53)),2)))</f>
        <v>0.0</v>
      </c>
      <c r="J53" s="31">
        <f>AN53+MIN(T52+AD53-AN53,MAX(0,ROUND(ROUND(Долги!$D$19-SUM($AL53:$AU53),2)-(SUM($H53:I53)-SUM($AL53:AM53)),2)))</f>
        <v>0.0</v>
      </c>
      <c r="K53" s="31">
        <f>AO53+MIN(U52+AE53-AO53,MAX(0,ROUND(ROUND(Долги!$D$19-SUM($AL53:$AU53),2)-(SUM($H53:J53)-SUM($AL53:AN53)),2)))</f>
        <v>0.0</v>
      </c>
      <c r="L53" s="31">
        <f>AP53+MIN(V52+AF53-AP53,MAX(0,ROUND(ROUND(Долги!$D$19-SUM($AL53:$AU53),2)-(SUM($H53:K53)-SUM($AL53:AO53)),2)))</f>
        <v>0.0</v>
      </c>
      <c r="M53" s="31">
        <f>AQ53+MIN(W52+AG53-AQ53,MAX(0,ROUND(ROUND(Долги!$D$19-SUM($AL53:$AU53),2)-(SUM($H53:L53)-SUM($AL53:AP53)),2)))</f>
        <v>0.0</v>
      </c>
      <c r="N53" s="31">
        <f>AR53+MIN(X52+AH53-AR53,MAX(0,ROUND(ROUND(Долги!$D$19-SUM($AL53:$AU53),2)-(SUM($H53:M53)-SUM($AL53:AQ53)),2)))</f>
        <v>0.0</v>
      </c>
      <c r="O53" s="31">
        <f>AS53+MIN(Y52+AI53-AS53,MAX(0,ROUND(ROUND(Долги!$D$19-SUM($AL53:$AU53),2)-(SUM($H53:N53)-SUM($AL53:AR53)),2)))</f>
        <v>0.0</v>
      </c>
      <c r="P53" s="31">
        <f>AT53+MIN(Z52+AJ53-AT53,MAX(0,ROUND(ROUND(Долги!$D$19-SUM($AL53:$AU53),2)-(SUM($H53:O53)-SUM($AL53:AS53)),2)))</f>
        <v>0.0</v>
      </c>
      <c r="Q53" s="31">
        <f>AU53+MIN(AA52+AK53-AU53,MAX(0,ROUND(ROUND(Долги!$D$19-SUM($AL53:$AU53),2)-(SUM($H53:P53)-SUM($AL53:AT53)),2)))</f>
        <v>0.0</v>
      </c>
      <c r="R53" s="31">
        <f>IF(R52+AB53-H53&lt;=0.01,0,ROUND(R52+AB53-H53,2))</f>
        <v>0.0</v>
      </c>
      <c r="S53" s="31">
        <f>IF(S52+AC53-I53&lt;=0.01,0,ROUND(S52+AC53-I53,2))</f>
        <v>0.0</v>
      </c>
      <c r="T53" s="31">
        <f>IF(T52+AD53-J53&lt;=0.01,0,ROUND(T52+AD53-J53,2))</f>
        <v>0.0</v>
      </c>
      <c r="U53" s="31">
        <f>IF(U52+AE53-K53&lt;=0.01,0,ROUND(U52+AE53-K53,2))</f>
        <v>0.0</v>
      </c>
      <c r="V53" s="31">
        <f>IF(V52+AF53-L53&lt;=0.01,0,ROUND(V52+AF53-L53,2))</f>
        <v>0.0</v>
      </c>
      <c r="W53" s="31">
        <f>IF(W52+AG53-M53&lt;=0.01,0,ROUND(W52+AG53-M53,2))</f>
        <v>0.0</v>
      </c>
      <c r="X53" s="31">
        <f>IF(X52+AH53-N53&lt;=0.01,0,ROUND(X52+AH53-N53,2))</f>
        <v>0.0</v>
      </c>
      <c r="Y53" s="31">
        <f>IF(Y52+AI53-O53&lt;=0.01,0,ROUND(Y52+AI53-O53,2))</f>
        <v>0.0</v>
      </c>
      <c r="Z53" s="31">
        <f>IF(Z52+AJ53-P53&lt;=0.01,0,ROUND(Z52+AJ53-P53,2))</f>
        <v>0.0</v>
      </c>
      <c r="AA53" s="31">
        <f>IF(AA52+AK53-Q53&lt;=0.01,0,ROUND(AA52+AK53-Q53,2))</f>
        <v>0.0</v>
      </c>
      <c r="AB53" s="31">
        <f>ROUND(R52*AB$5/1200,2)</f>
        <v>0.0</v>
      </c>
      <c r="AC53" s="31">
        <f>ROUND(S52*AC$5/1200,2)</f>
        <v>0.0</v>
      </c>
      <c r="AD53" s="31">
        <f>ROUND(T52*AD$5/1200,2)</f>
        <v>0.0</v>
      </c>
      <c r="AE53" s="31">
        <f>ROUND(U52*AE$5/1200,2)</f>
        <v>0.0</v>
      </c>
      <c r="AF53" s="31">
        <f>ROUND(V52*AF$5/1200,2)</f>
        <v>0.0</v>
      </c>
      <c r="AG53" s="31">
        <f>ROUND(W52*AG$5/1200,2)</f>
        <v>0.0</v>
      </c>
      <c r="AH53" s="31">
        <f>ROUND(X52*AH$5/1200,2)</f>
        <v>0.0</v>
      </c>
      <c r="AI53" s="31">
        <f>ROUND(Y52*AI$5/1200,2)</f>
        <v>0.0</v>
      </c>
      <c r="AJ53" s="31">
        <f>ROUND(Z52*AJ$5/1200,2)</f>
        <v>0.0</v>
      </c>
      <c r="AK53" s="31">
        <f>ROUND(AA52*AK$5/1200,2)</f>
        <v>0.0</v>
      </c>
      <c r="AL53" s="31">
        <f>MIN(AL$5,R52+AB53)</f>
        <v>0.0</v>
      </c>
      <c r="AM53" s="31">
        <f>MIN(AM$5,S52+AC53)</f>
        <v>0.0</v>
      </c>
      <c r="AN53" s="31">
        <f>MIN(AN$5,T52+AD53)</f>
        <v>0.0</v>
      </c>
      <c r="AO53" s="31">
        <f>MIN(AO$5,U52+AE53)</f>
        <v>0.0</v>
      </c>
      <c r="AP53" s="31">
        <f>MIN(AP$5,V52+AF53)</f>
        <v>0.0</v>
      </c>
      <c r="AQ53" s="31">
        <f>MIN(AQ$5,W52+AG53)</f>
        <v>0.0</v>
      </c>
      <c r="AR53" s="31">
        <f>MIN(AR$5,X52+AH53)</f>
        <v>0.0</v>
      </c>
      <c r="AS53" s="31">
        <f>MIN(AS$5,Y52+AI53)</f>
        <v>0.0</v>
      </c>
      <c r="AT53" s="31">
        <f>MIN(AT$5,Z52+AJ53)</f>
        <v>0.0</v>
      </c>
      <c r="AU53" s="31">
        <f>MIN(AU$5,AA52+AK53)</f>
        <v>0.0</v>
      </c>
    </row>
    <row r="54">
      <c r="A54" s="25" t="str">
        <f>IF(F53&gt;0.005,49,"")</f>
        <v/>
      </c>
      <c r="B54" s="33" t="str">
        <f>IF(A54="","",EDATE(Долги!$D$5,48))</f>
        <v/>
      </c>
      <c r="C54" s="31">
        <f>SUM(H54:Q54)</f>
        <v>0.0</v>
      </c>
      <c r="D54" s="31">
        <f>SUM(AB54:AK54)</f>
        <v>0.0</v>
      </c>
      <c r="E54" s="31">
        <f>C54-D54</f>
        <v>0.0</v>
      </c>
      <c r="F54" s="31">
        <f>SUM(R54:AA54)</f>
        <v>0.0</v>
      </c>
      <c r="G54" s="34" t="str">
        <f>IF(OR(A54="",$F$5&lt;=0),"",REPT("█",ROUND(20*F54/$F$5,0)))</f>
        <v/>
      </c>
      <c r="H54" s="31">
        <f>AL54+MIN(R53+AB54-AL54,MAX(0,ROUND(Долги!$D$19-SUM($AL54:$AU54),2)))</f>
        <v>0.0</v>
      </c>
      <c r="I54" s="31">
        <f>AM54+MIN(S53+AC54-AM54,MAX(0,ROUND(ROUND(Долги!$D$19-SUM($AL54:$AU54),2)-(SUM($H54:H54)-SUM($AL54:AL54)),2)))</f>
        <v>0.0</v>
      </c>
      <c r="J54" s="31">
        <f>AN54+MIN(T53+AD54-AN54,MAX(0,ROUND(ROUND(Долги!$D$19-SUM($AL54:$AU54),2)-(SUM($H54:I54)-SUM($AL54:AM54)),2)))</f>
        <v>0.0</v>
      </c>
      <c r="K54" s="31">
        <f>AO54+MIN(U53+AE54-AO54,MAX(0,ROUND(ROUND(Долги!$D$19-SUM($AL54:$AU54),2)-(SUM($H54:J54)-SUM($AL54:AN54)),2)))</f>
        <v>0.0</v>
      </c>
      <c r="L54" s="31">
        <f>AP54+MIN(V53+AF54-AP54,MAX(0,ROUND(ROUND(Долги!$D$19-SUM($AL54:$AU54),2)-(SUM($H54:K54)-SUM($AL54:AO54)),2)))</f>
        <v>0.0</v>
      </c>
      <c r="M54" s="31">
        <f>AQ54+MIN(W53+AG54-AQ54,MAX(0,ROUND(ROUND(Долги!$D$19-SUM($AL54:$AU54),2)-(SUM($H54:L54)-SUM($AL54:AP54)),2)))</f>
        <v>0.0</v>
      </c>
      <c r="N54" s="31">
        <f>AR54+MIN(X53+AH54-AR54,MAX(0,ROUND(ROUND(Долги!$D$19-SUM($AL54:$AU54),2)-(SUM($H54:M54)-SUM($AL54:AQ54)),2)))</f>
        <v>0.0</v>
      </c>
      <c r="O54" s="31">
        <f>AS54+MIN(Y53+AI54-AS54,MAX(0,ROUND(ROUND(Долги!$D$19-SUM($AL54:$AU54),2)-(SUM($H54:N54)-SUM($AL54:AR54)),2)))</f>
        <v>0.0</v>
      </c>
      <c r="P54" s="31">
        <f>AT54+MIN(Z53+AJ54-AT54,MAX(0,ROUND(ROUND(Долги!$D$19-SUM($AL54:$AU54),2)-(SUM($H54:O54)-SUM($AL54:AS54)),2)))</f>
        <v>0.0</v>
      </c>
      <c r="Q54" s="31">
        <f>AU54+MIN(AA53+AK54-AU54,MAX(0,ROUND(ROUND(Долги!$D$19-SUM($AL54:$AU54),2)-(SUM($H54:P54)-SUM($AL54:AT54)),2)))</f>
        <v>0.0</v>
      </c>
      <c r="R54" s="31">
        <f>IF(R53+AB54-H54&lt;=0.01,0,ROUND(R53+AB54-H54,2))</f>
        <v>0.0</v>
      </c>
      <c r="S54" s="31">
        <f>IF(S53+AC54-I54&lt;=0.01,0,ROUND(S53+AC54-I54,2))</f>
        <v>0.0</v>
      </c>
      <c r="T54" s="31">
        <f>IF(T53+AD54-J54&lt;=0.01,0,ROUND(T53+AD54-J54,2))</f>
        <v>0.0</v>
      </c>
      <c r="U54" s="31">
        <f>IF(U53+AE54-K54&lt;=0.01,0,ROUND(U53+AE54-K54,2))</f>
        <v>0.0</v>
      </c>
      <c r="V54" s="31">
        <f>IF(V53+AF54-L54&lt;=0.01,0,ROUND(V53+AF54-L54,2))</f>
        <v>0.0</v>
      </c>
      <c r="W54" s="31">
        <f>IF(W53+AG54-M54&lt;=0.01,0,ROUND(W53+AG54-M54,2))</f>
        <v>0.0</v>
      </c>
      <c r="X54" s="31">
        <f>IF(X53+AH54-N54&lt;=0.01,0,ROUND(X53+AH54-N54,2))</f>
        <v>0.0</v>
      </c>
      <c r="Y54" s="31">
        <f>IF(Y53+AI54-O54&lt;=0.01,0,ROUND(Y53+AI54-O54,2))</f>
        <v>0.0</v>
      </c>
      <c r="Z54" s="31">
        <f>IF(Z53+AJ54-P54&lt;=0.01,0,ROUND(Z53+AJ54-P54,2))</f>
        <v>0.0</v>
      </c>
      <c r="AA54" s="31">
        <f>IF(AA53+AK54-Q54&lt;=0.01,0,ROUND(AA53+AK54-Q54,2))</f>
        <v>0.0</v>
      </c>
      <c r="AB54" s="31">
        <f>ROUND(R53*AB$5/1200,2)</f>
        <v>0.0</v>
      </c>
      <c r="AC54" s="31">
        <f>ROUND(S53*AC$5/1200,2)</f>
        <v>0.0</v>
      </c>
      <c r="AD54" s="31">
        <f>ROUND(T53*AD$5/1200,2)</f>
        <v>0.0</v>
      </c>
      <c r="AE54" s="31">
        <f>ROUND(U53*AE$5/1200,2)</f>
        <v>0.0</v>
      </c>
      <c r="AF54" s="31">
        <f>ROUND(V53*AF$5/1200,2)</f>
        <v>0.0</v>
      </c>
      <c r="AG54" s="31">
        <f>ROUND(W53*AG$5/1200,2)</f>
        <v>0.0</v>
      </c>
      <c r="AH54" s="31">
        <f>ROUND(X53*AH$5/1200,2)</f>
        <v>0.0</v>
      </c>
      <c r="AI54" s="31">
        <f>ROUND(Y53*AI$5/1200,2)</f>
        <v>0.0</v>
      </c>
      <c r="AJ54" s="31">
        <f>ROUND(Z53*AJ$5/1200,2)</f>
        <v>0.0</v>
      </c>
      <c r="AK54" s="31">
        <f>ROUND(AA53*AK$5/1200,2)</f>
        <v>0.0</v>
      </c>
      <c r="AL54" s="31">
        <f>MIN(AL$5,R53+AB54)</f>
        <v>0.0</v>
      </c>
      <c r="AM54" s="31">
        <f>MIN(AM$5,S53+AC54)</f>
        <v>0.0</v>
      </c>
      <c r="AN54" s="31">
        <f>MIN(AN$5,T53+AD54)</f>
        <v>0.0</v>
      </c>
      <c r="AO54" s="31">
        <f>MIN(AO$5,U53+AE54)</f>
        <v>0.0</v>
      </c>
      <c r="AP54" s="31">
        <f>MIN(AP$5,V53+AF54)</f>
        <v>0.0</v>
      </c>
      <c r="AQ54" s="31">
        <f>MIN(AQ$5,W53+AG54)</f>
        <v>0.0</v>
      </c>
      <c r="AR54" s="31">
        <f>MIN(AR$5,X53+AH54)</f>
        <v>0.0</v>
      </c>
      <c r="AS54" s="31">
        <f>MIN(AS$5,Y53+AI54)</f>
        <v>0.0</v>
      </c>
      <c r="AT54" s="31">
        <f>MIN(AT$5,Z53+AJ54)</f>
        <v>0.0</v>
      </c>
      <c r="AU54" s="31">
        <f>MIN(AU$5,AA53+AK54)</f>
        <v>0.0</v>
      </c>
    </row>
    <row r="55">
      <c r="A55" s="25" t="str">
        <f>IF(F54&gt;0.005,50,"")</f>
        <v/>
      </c>
      <c r="B55" s="33" t="str">
        <f>IF(A55="","",EDATE(Долги!$D$5,49))</f>
        <v/>
      </c>
      <c r="C55" s="31">
        <f>SUM(H55:Q55)</f>
        <v>0.0</v>
      </c>
      <c r="D55" s="31">
        <f>SUM(AB55:AK55)</f>
        <v>0.0</v>
      </c>
      <c r="E55" s="31">
        <f>C55-D55</f>
        <v>0.0</v>
      </c>
      <c r="F55" s="31">
        <f>SUM(R55:AA55)</f>
        <v>0.0</v>
      </c>
      <c r="G55" s="34" t="str">
        <f>IF(OR(A55="",$F$5&lt;=0),"",REPT("█",ROUND(20*F55/$F$5,0)))</f>
        <v/>
      </c>
      <c r="H55" s="31">
        <f>AL55+MIN(R54+AB55-AL55,MAX(0,ROUND(Долги!$D$19-SUM($AL55:$AU55),2)))</f>
        <v>0.0</v>
      </c>
      <c r="I55" s="31">
        <f>AM55+MIN(S54+AC55-AM55,MAX(0,ROUND(ROUND(Долги!$D$19-SUM($AL55:$AU55),2)-(SUM($H55:H55)-SUM($AL55:AL55)),2)))</f>
        <v>0.0</v>
      </c>
      <c r="J55" s="31">
        <f>AN55+MIN(T54+AD55-AN55,MAX(0,ROUND(ROUND(Долги!$D$19-SUM($AL55:$AU55),2)-(SUM($H55:I55)-SUM($AL55:AM55)),2)))</f>
        <v>0.0</v>
      </c>
      <c r="K55" s="31">
        <f>AO55+MIN(U54+AE55-AO55,MAX(0,ROUND(ROUND(Долги!$D$19-SUM($AL55:$AU55),2)-(SUM($H55:J55)-SUM($AL55:AN55)),2)))</f>
        <v>0.0</v>
      </c>
      <c r="L55" s="31">
        <f>AP55+MIN(V54+AF55-AP55,MAX(0,ROUND(ROUND(Долги!$D$19-SUM($AL55:$AU55),2)-(SUM($H55:K55)-SUM($AL55:AO55)),2)))</f>
        <v>0.0</v>
      </c>
      <c r="M55" s="31">
        <f>AQ55+MIN(W54+AG55-AQ55,MAX(0,ROUND(ROUND(Долги!$D$19-SUM($AL55:$AU55),2)-(SUM($H55:L55)-SUM($AL55:AP55)),2)))</f>
        <v>0.0</v>
      </c>
      <c r="N55" s="31">
        <f>AR55+MIN(X54+AH55-AR55,MAX(0,ROUND(ROUND(Долги!$D$19-SUM($AL55:$AU55),2)-(SUM($H55:M55)-SUM($AL55:AQ55)),2)))</f>
        <v>0.0</v>
      </c>
      <c r="O55" s="31">
        <f>AS55+MIN(Y54+AI55-AS55,MAX(0,ROUND(ROUND(Долги!$D$19-SUM($AL55:$AU55),2)-(SUM($H55:N55)-SUM($AL55:AR55)),2)))</f>
        <v>0.0</v>
      </c>
      <c r="P55" s="31">
        <f>AT55+MIN(Z54+AJ55-AT55,MAX(0,ROUND(ROUND(Долги!$D$19-SUM($AL55:$AU55),2)-(SUM($H55:O55)-SUM($AL55:AS55)),2)))</f>
        <v>0.0</v>
      </c>
      <c r="Q55" s="31">
        <f>AU55+MIN(AA54+AK55-AU55,MAX(0,ROUND(ROUND(Долги!$D$19-SUM($AL55:$AU55),2)-(SUM($H55:P55)-SUM($AL55:AT55)),2)))</f>
        <v>0.0</v>
      </c>
      <c r="R55" s="31">
        <f>IF(R54+AB55-H55&lt;=0.01,0,ROUND(R54+AB55-H55,2))</f>
        <v>0.0</v>
      </c>
      <c r="S55" s="31">
        <f>IF(S54+AC55-I55&lt;=0.01,0,ROUND(S54+AC55-I55,2))</f>
        <v>0.0</v>
      </c>
      <c r="T55" s="31">
        <f>IF(T54+AD55-J55&lt;=0.01,0,ROUND(T54+AD55-J55,2))</f>
        <v>0.0</v>
      </c>
      <c r="U55" s="31">
        <f>IF(U54+AE55-K55&lt;=0.01,0,ROUND(U54+AE55-K55,2))</f>
        <v>0.0</v>
      </c>
      <c r="V55" s="31">
        <f>IF(V54+AF55-L55&lt;=0.01,0,ROUND(V54+AF55-L55,2))</f>
        <v>0.0</v>
      </c>
      <c r="W55" s="31">
        <f>IF(W54+AG55-M55&lt;=0.01,0,ROUND(W54+AG55-M55,2))</f>
        <v>0.0</v>
      </c>
      <c r="X55" s="31">
        <f>IF(X54+AH55-N55&lt;=0.01,0,ROUND(X54+AH55-N55,2))</f>
        <v>0.0</v>
      </c>
      <c r="Y55" s="31">
        <f>IF(Y54+AI55-O55&lt;=0.01,0,ROUND(Y54+AI55-O55,2))</f>
        <v>0.0</v>
      </c>
      <c r="Z55" s="31">
        <f>IF(Z54+AJ55-P55&lt;=0.01,0,ROUND(Z54+AJ55-P55,2))</f>
        <v>0.0</v>
      </c>
      <c r="AA55" s="31">
        <f>IF(AA54+AK55-Q55&lt;=0.01,0,ROUND(AA54+AK55-Q55,2))</f>
        <v>0.0</v>
      </c>
      <c r="AB55" s="31">
        <f>ROUND(R54*AB$5/1200,2)</f>
        <v>0.0</v>
      </c>
      <c r="AC55" s="31">
        <f>ROUND(S54*AC$5/1200,2)</f>
        <v>0.0</v>
      </c>
      <c r="AD55" s="31">
        <f>ROUND(T54*AD$5/1200,2)</f>
        <v>0.0</v>
      </c>
      <c r="AE55" s="31">
        <f>ROUND(U54*AE$5/1200,2)</f>
        <v>0.0</v>
      </c>
      <c r="AF55" s="31">
        <f>ROUND(V54*AF$5/1200,2)</f>
        <v>0.0</v>
      </c>
      <c r="AG55" s="31">
        <f>ROUND(W54*AG$5/1200,2)</f>
        <v>0.0</v>
      </c>
      <c r="AH55" s="31">
        <f>ROUND(X54*AH$5/1200,2)</f>
        <v>0.0</v>
      </c>
      <c r="AI55" s="31">
        <f>ROUND(Y54*AI$5/1200,2)</f>
        <v>0.0</v>
      </c>
      <c r="AJ55" s="31">
        <f>ROUND(Z54*AJ$5/1200,2)</f>
        <v>0.0</v>
      </c>
      <c r="AK55" s="31">
        <f>ROUND(AA54*AK$5/1200,2)</f>
        <v>0.0</v>
      </c>
      <c r="AL55" s="31">
        <f>MIN(AL$5,R54+AB55)</f>
        <v>0.0</v>
      </c>
      <c r="AM55" s="31">
        <f>MIN(AM$5,S54+AC55)</f>
        <v>0.0</v>
      </c>
      <c r="AN55" s="31">
        <f>MIN(AN$5,T54+AD55)</f>
        <v>0.0</v>
      </c>
      <c r="AO55" s="31">
        <f>MIN(AO$5,U54+AE55)</f>
        <v>0.0</v>
      </c>
      <c r="AP55" s="31">
        <f>MIN(AP$5,V54+AF55)</f>
        <v>0.0</v>
      </c>
      <c r="AQ55" s="31">
        <f>MIN(AQ$5,W54+AG55)</f>
        <v>0.0</v>
      </c>
      <c r="AR55" s="31">
        <f>MIN(AR$5,X54+AH55)</f>
        <v>0.0</v>
      </c>
      <c r="AS55" s="31">
        <f>MIN(AS$5,Y54+AI55)</f>
        <v>0.0</v>
      </c>
      <c r="AT55" s="31">
        <f>MIN(AT$5,Z54+AJ55)</f>
        <v>0.0</v>
      </c>
      <c r="AU55" s="31">
        <f>MIN(AU$5,AA54+AK55)</f>
        <v>0.0</v>
      </c>
    </row>
    <row r="56">
      <c r="A56" s="25" t="str">
        <f>IF(F55&gt;0.005,51,"")</f>
        <v/>
      </c>
      <c r="B56" s="33" t="str">
        <f>IF(A56="","",EDATE(Долги!$D$5,50))</f>
        <v/>
      </c>
      <c r="C56" s="31">
        <f>SUM(H56:Q56)</f>
        <v>0.0</v>
      </c>
      <c r="D56" s="31">
        <f>SUM(AB56:AK56)</f>
        <v>0.0</v>
      </c>
      <c r="E56" s="31">
        <f>C56-D56</f>
        <v>0.0</v>
      </c>
      <c r="F56" s="31">
        <f>SUM(R56:AA56)</f>
        <v>0.0</v>
      </c>
      <c r="G56" s="34" t="str">
        <f>IF(OR(A56="",$F$5&lt;=0),"",REPT("█",ROUND(20*F56/$F$5,0)))</f>
        <v/>
      </c>
      <c r="H56" s="31">
        <f>AL56+MIN(R55+AB56-AL56,MAX(0,ROUND(Долги!$D$19-SUM($AL56:$AU56),2)))</f>
        <v>0.0</v>
      </c>
      <c r="I56" s="31">
        <f>AM56+MIN(S55+AC56-AM56,MAX(0,ROUND(ROUND(Долги!$D$19-SUM($AL56:$AU56),2)-(SUM($H56:H56)-SUM($AL56:AL56)),2)))</f>
        <v>0.0</v>
      </c>
      <c r="J56" s="31">
        <f>AN56+MIN(T55+AD56-AN56,MAX(0,ROUND(ROUND(Долги!$D$19-SUM($AL56:$AU56),2)-(SUM($H56:I56)-SUM($AL56:AM56)),2)))</f>
        <v>0.0</v>
      </c>
      <c r="K56" s="31">
        <f>AO56+MIN(U55+AE56-AO56,MAX(0,ROUND(ROUND(Долги!$D$19-SUM($AL56:$AU56),2)-(SUM($H56:J56)-SUM($AL56:AN56)),2)))</f>
        <v>0.0</v>
      </c>
      <c r="L56" s="31">
        <f>AP56+MIN(V55+AF56-AP56,MAX(0,ROUND(ROUND(Долги!$D$19-SUM($AL56:$AU56),2)-(SUM($H56:K56)-SUM($AL56:AO56)),2)))</f>
        <v>0.0</v>
      </c>
      <c r="M56" s="31">
        <f>AQ56+MIN(W55+AG56-AQ56,MAX(0,ROUND(ROUND(Долги!$D$19-SUM($AL56:$AU56),2)-(SUM($H56:L56)-SUM($AL56:AP56)),2)))</f>
        <v>0.0</v>
      </c>
      <c r="N56" s="31">
        <f>AR56+MIN(X55+AH56-AR56,MAX(0,ROUND(ROUND(Долги!$D$19-SUM($AL56:$AU56),2)-(SUM($H56:M56)-SUM($AL56:AQ56)),2)))</f>
        <v>0.0</v>
      </c>
      <c r="O56" s="31">
        <f>AS56+MIN(Y55+AI56-AS56,MAX(0,ROUND(ROUND(Долги!$D$19-SUM($AL56:$AU56),2)-(SUM($H56:N56)-SUM($AL56:AR56)),2)))</f>
        <v>0.0</v>
      </c>
      <c r="P56" s="31">
        <f>AT56+MIN(Z55+AJ56-AT56,MAX(0,ROUND(ROUND(Долги!$D$19-SUM($AL56:$AU56),2)-(SUM($H56:O56)-SUM($AL56:AS56)),2)))</f>
        <v>0.0</v>
      </c>
      <c r="Q56" s="31">
        <f>AU56+MIN(AA55+AK56-AU56,MAX(0,ROUND(ROUND(Долги!$D$19-SUM($AL56:$AU56),2)-(SUM($H56:P56)-SUM($AL56:AT56)),2)))</f>
        <v>0.0</v>
      </c>
      <c r="R56" s="31">
        <f>IF(R55+AB56-H56&lt;=0.01,0,ROUND(R55+AB56-H56,2))</f>
        <v>0.0</v>
      </c>
      <c r="S56" s="31">
        <f>IF(S55+AC56-I56&lt;=0.01,0,ROUND(S55+AC56-I56,2))</f>
        <v>0.0</v>
      </c>
      <c r="T56" s="31">
        <f>IF(T55+AD56-J56&lt;=0.01,0,ROUND(T55+AD56-J56,2))</f>
        <v>0.0</v>
      </c>
      <c r="U56" s="31">
        <f>IF(U55+AE56-K56&lt;=0.01,0,ROUND(U55+AE56-K56,2))</f>
        <v>0.0</v>
      </c>
      <c r="V56" s="31">
        <f>IF(V55+AF56-L56&lt;=0.01,0,ROUND(V55+AF56-L56,2))</f>
        <v>0.0</v>
      </c>
      <c r="W56" s="31">
        <f>IF(W55+AG56-M56&lt;=0.01,0,ROUND(W55+AG56-M56,2))</f>
        <v>0.0</v>
      </c>
      <c r="X56" s="31">
        <f>IF(X55+AH56-N56&lt;=0.01,0,ROUND(X55+AH56-N56,2))</f>
        <v>0.0</v>
      </c>
      <c r="Y56" s="31">
        <f>IF(Y55+AI56-O56&lt;=0.01,0,ROUND(Y55+AI56-O56,2))</f>
        <v>0.0</v>
      </c>
      <c r="Z56" s="31">
        <f>IF(Z55+AJ56-P56&lt;=0.01,0,ROUND(Z55+AJ56-P56,2))</f>
        <v>0.0</v>
      </c>
      <c r="AA56" s="31">
        <f>IF(AA55+AK56-Q56&lt;=0.01,0,ROUND(AA55+AK56-Q56,2))</f>
        <v>0.0</v>
      </c>
      <c r="AB56" s="31">
        <f>ROUND(R55*AB$5/1200,2)</f>
        <v>0.0</v>
      </c>
      <c r="AC56" s="31">
        <f>ROUND(S55*AC$5/1200,2)</f>
        <v>0.0</v>
      </c>
      <c r="AD56" s="31">
        <f>ROUND(T55*AD$5/1200,2)</f>
        <v>0.0</v>
      </c>
      <c r="AE56" s="31">
        <f>ROUND(U55*AE$5/1200,2)</f>
        <v>0.0</v>
      </c>
      <c r="AF56" s="31">
        <f>ROUND(V55*AF$5/1200,2)</f>
        <v>0.0</v>
      </c>
      <c r="AG56" s="31">
        <f>ROUND(W55*AG$5/1200,2)</f>
        <v>0.0</v>
      </c>
      <c r="AH56" s="31">
        <f>ROUND(X55*AH$5/1200,2)</f>
        <v>0.0</v>
      </c>
      <c r="AI56" s="31">
        <f>ROUND(Y55*AI$5/1200,2)</f>
        <v>0.0</v>
      </c>
      <c r="AJ56" s="31">
        <f>ROUND(Z55*AJ$5/1200,2)</f>
        <v>0.0</v>
      </c>
      <c r="AK56" s="31">
        <f>ROUND(AA55*AK$5/1200,2)</f>
        <v>0.0</v>
      </c>
      <c r="AL56" s="31">
        <f>MIN(AL$5,R55+AB56)</f>
        <v>0.0</v>
      </c>
      <c r="AM56" s="31">
        <f>MIN(AM$5,S55+AC56)</f>
        <v>0.0</v>
      </c>
      <c r="AN56" s="31">
        <f>MIN(AN$5,T55+AD56)</f>
        <v>0.0</v>
      </c>
      <c r="AO56" s="31">
        <f>MIN(AO$5,U55+AE56)</f>
        <v>0.0</v>
      </c>
      <c r="AP56" s="31">
        <f>MIN(AP$5,V55+AF56)</f>
        <v>0.0</v>
      </c>
      <c r="AQ56" s="31">
        <f>MIN(AQ$5,W55+AG56)</f>
        <v>0.0</v>
      </c>
      <c r="AR56" s="31">
        <f>MIN(AR$5,X55+AH56)</f>
        <v>0.0</v>
      </c>
      <c r="AS56" s="31">
        <f>MIN(AS$5,Y55+AI56)</f>
        <v>0.0</v>
      </c>
      <c r="AT56" s="31">
        <f>MIN(AT$5,Z55+AJ56)</f>
        <v>0.0</v>
      </c>
      <c r="AU56" s="31">
        <f>MIN(AU$5,AA55+AK56)</f>
        <v>0.0</v>
      </c>
    </row>
    <row r="57">
      <c r="A57" s="25" t="str">
        <f>IF(F56&gt;0.005,52,"")</f>
        <v/>
      </c>
      <c r="B57" s="33" t="str">
        <f>IF(A57="","",EDATE(Долги!$D$5,51))</f>
        <v/>
      </c>
      <c r="C57" s="31">
        <f>SUM(H57:Q57)</f>
        <v>0.0</v>
      </c>
      <c r="D57" s="31">
        <f>SUM(AB57:AK57)</f>
        <v>0.0</v>
      </c>
      <c r="E57" s="31">
        <f>C57-D57</f>
        <v>0.0</v>
      </c>
      <c r="F57" s="31">
        <f>SUM(R57:AA57)</f>
        <v>0.0</v>
      </c>
      <c r="G57" s="34" t="str">
        <f>IF(OR(A57="",$F$5&lt;=0),"",REPT("█",ROUND(20*F57/$F$5,0)))</f>
        <v/>
      </c>
      <c r="H57" s="31">
        <f>AL57+MIN(R56+AB57-AL57,MAX(0,ROUND(Долги!$D$19-SUM($AL57:$AU57),2)))</f>
        <v>0.0</v>
      </c>
      <c r="I57" s="31">
        <f>AM57+MIN(S56+AC57-AM57,MAX(0,ROUND(ROUND(Долги!$D$19-SUM($AL57:$AU57),2)-(SUM($H57:H57)-SUM($AL57:AL57)),2)))</f>
        <v>0.0</v>
      </c>
      <c r="J57" s="31">
        <f>AN57+MIN(T56+AD57-AN57,MAX(0,ROUND(ROUND(Долги!$D$19-SUM($AL57:$AU57),2)-(SUM($H57:I57)-SUM($AL57:AM57)),2)))</f>
        <v>0.0</v>
      </c>
      <c r="K57" s="31">
        <f>AO57+MIN(U56+AE57-AO57,MAX(0,ROUND(ROUND(Долги!$D$19-SUM($AL57:$AU57),2)-(SUM($H57:J57)-SUM($AL57:AN57)),2)))</f>
        <v>0.0</v>
      </c>
      <c r="L57" s="31">
        <f>AP57+MIN(V56+AF57-AP57,MAX(0,ROUND(ROUND(Долги!$D$19-SUM($AL57:$AU57),2)-(SUM($H57:K57)-SUM($AL57:AO57)),2)))</f>
        <v>0.0</v>
      </c>
      <c r="M57" s="31">
        <f>AQ57+MIN(W56+AG57-AQ57,MAX(0,ROUND(ROUND(Долги!$D$19-SUM($AL57:$AU57),2)-(SUM($H57:L57)-SUM($AL57:AP57)),2)))</f>
        <v>0.0</v>
      </c>
      <c r="N57" s="31">
        <f>AR57+MIN(X56+AH57-AR57,MAX(0,ROUND(ROUND(Долги!$D$19-SUM($AL57:$AU57),2)-(SUM($H57:M57)-SUM($AL57:AQ57)),2)))</f>
        <v>0.0</v>
      </c>
      <c r="O57" s="31">
        <f>AS57+MIN(Y56+AI57-AS57,MAX(0,ROUND(ROUND(Долги!$D$19-SUM($AL57:$AU57),2)-(SUM($H57:N57)-SUM($AL57:AR57)),2)))</f>
        <v>0.0</v>
      </c>
      <c r="P57" s="31">
        <f>AT57+MIN(Z56+AJ57-AT57,MAX(0,ROUND(ROUND(Долги!$D$19-SUM($AL57:$AU57),2)-(SUM($H57:O57)-SUM($AL57:AS57)),2)))</f>
        <v>0.0</v>
      </c>
      <c r="Q57" s="31">
        <f>AU57+MIN(AA56+AK57-AU57,MAX(0,ROUND(ROUND(Долги!$D$19-SUM($AL57:$AU57),2)-(SUM($H57:P57)-SUM($AL57:AT57)),2)))</f>
        <v>0.0</v>
      </c>
      <c r="R57" s="31">
        <f>IF(R56+AB57-H57&lt;=0.01,0,ROUND(R56+AB57-H57,2))</f>
        <v>0.0</v>
      </c>
      <c r="S57" s="31">
        <f>IF(S56+AC57-I57&lt;=0.01,0,ROUND(S56+AC57-I57,2))</f>
        <v>0.0</v>
      </c>
      <c r="T57" s="31">
        <f>IF(T56+AD57-J57&lt;=0.01,0,ROUND(T56+AD57-J57,2))</f>
        <v>0.0</v>
      </c>
      <c r="U57" s="31">
        <f>IF(U56+AE57-K57&lt;=0.01,0,ROUND(U56+AE57-K57,2))</f>
        <v>0.0</v>
      </c>
      <c r="V57" s="31">
        <f>IF(V56+AF57-L57&lt;=0.01,0,ROUND(V56+AF57-L57,2))</f>
        <v>0.0</v>
      </c>
      <c r="W57" s="31">
        <f>IF(W56+AG57-M57&lt;=0.01,0,ROUND(W56+AG57-M57,2))</f>
        <v>0.0</v>
      </c>
      <c r="X57" s="31">
        <f>IF(X56+AH57-N57&lt;=0.01,0,ROUND(X56+AH57-N57,2))</f>
        <v>0.0</v>
      </c>
      <c r="Y57" s="31">
        <f>IF(Y56+AI57-O57&lt;=0.01,0,ROUND(Y56+AI57-O57,2))</f>
        <v>0.0</v>
      </c>
      <c r="Z57" s="31">
        <f>IF(Z56+AJ57-P57&lt;=0.01,0,ROUND(Z56+AJ57-P57,2))</f>
        <v>0.0</v>
      </c>
      <c r="AA57" s="31">
        <f>IF(AA56+AK57-Q57&lt;=0.01,0,ROUND(AA56+AK57-Q57,2))</f>
        <v>0.0</v>
      </c>
      <c r="AB57" s="31">
        <f>ROUND(R56*AB$5/1200,2)</f>
        <v>0.0</v>
      </c>
      <c r="AC57" s="31">
        <f>ROUND(S56*AC$5/1200,2)</f>
        <v>0.0</v>
      </c>
      <c r="AD57" s="31">
        <f>ROUND(T56*AD$5/1200,2)</f>
        <v>0.0</v>
      </c>
      <c r="AE57" s="31">
        <f>ROUND(U56*AE$5/1200,2)</f>
        <v>0.0</v>
      </c>
      <c r="AF57" s="31">
        <f>ROUND(V56*AF$5/1200,2)</f>
        <v>0.0</v>
      </c>
      <c r="AG57" s="31">
        <f>ROUND(W56*AG$5/1200,2)</f>
        <v>0.0</v>
      </c>
      <c r="AH57" s="31">
        <f>ROUND(X56*AH$5/1200,2)</f>
        <v>0.0</v>
      </c>
      <c r="AI57" s="31">
        <f>ROUND(Y56*AI$5/1200,2)</f>
        <v>0.0</v>
      </c>
      <c r="AJ57" s="31">
        <f>ROUND(Z56*AJ$5/1200,2)</f>
        <v>0.0</v>
      </c>
      <c r="AK57" s="31">
        <f>ROUND(AA56*AK$5/1200,2)</f>
        <v>0.0</v>
      </c>
      <c r="AL57" s="31">
        <f>MIN(AL$5,R56+AB57)</f>
        <v>0.0</v>
      </c>
      <c r="AM57" s="31">
        <f>MIN(AM$5,S56+AC57)</f>
        <v>0.0</v>
      </c>
      <c r="AN57" s="31">
        <f>MIN(AN$5,T56+AD57)</f>
        <v>0.0</v>
      </c>
      <c r="AO57" s="31">
        <f>MIN(AO$5,U56+AE57)</f>
        <v>0.0</v>
      </c>
      <c r="AP57" s="31">
        <f>MIN(AP$5,V56+AF57)</f>
        <v>0.0</v>
      </c>
      <c r="AQ57" s="31">
        <f>MIN(AQ$5,W56+AG57)</f>
        <v>0.0</v>
      </c>
      <c r="AR57" s="31">
        <f>MIN(AR$5,X56+AH57)</f>
        <v>0.0</v>
      </c>
      <c r="AS57" s="31">
        <f>MIN(AS$5,Y56+AI57)</f>
        <v>0.0</v>
      </c>
      <c r="AT57" s="31">
        <f>MIN(AT$5,Z56+AJ57)</f>
        <v>0.0</v>
      </c>
      <c r="AU57" s="31">
        <f>MIN(AU$5,AA56+AK57)</f>
        <v>0.0</v>
      </c>
    </row>
    <row r="58">
      <c r="A58" s="25" t="str">
        <f>IF(F57&gt;0.005,53,"")</f>
        <v/>
      </c>
      <c r="B58" s="33" t="str">
        <f>IF(A58="","",EDATE(Долги!$D$5,52))</f>
        <v/>
      </c>
      <c r="C58" s="31">
        <f>SUM(H58:Q58)</f>
        <v>0.0</v>
      </c>
      <c r="D58" s="31">
        <f>SUM(AB58:AK58)</f>
        <v>0.0</v>
      </c>
      <c r="E58" s="31">
        <f>C58-D58</f>
        <v>0.0</v>
      </c>
      <c r="F58" s="31">
        <f>SUM(R58:AA58)</f>
        <v>0.0</v>
      </c>
      <c r="G58" s="34" t="str">
        <f>IF(OR(A58="",$F$5&lt;=0),"",REPT("█",ROUND(20*F58/$F$5,0)))</f>
        <v/>
      </c>
      <c r="H58" s="31">
        <f>AL58+MIN(R57+AB58-AL58,MAX(0,ROUND(Долги!$D$19-SUM($AL58:$AU58),2)))</f>
        <v>0.0</v>
      </c>
      <c r="I58" s="31">
        <f>AM58+MIN(S57+AC58-AM58,MAX(0,ROUND(ROUND(Долги!$D$19-SUM($AL58:$AU58),2)-(SUM($H58:H58)-SUM($AL58:AL58)),2)))</f>
        <v>0.0</v>
      </c>
      <c r="J58" s="31">
        <f>AN58+MIN(T57+AD58-AN58,MAX(0,ROUND(ROUND(Долги!$D$19-SUM($AL58:$AU58),2)-(SUM($H58:I58)-SUM($AL58:AM58)),2)))</f>
        <v>0.0</v>
      </c>
      <c r="K58" s="31">
        <f>AO58+MIN(U57+AE58-AO58,MAX(0,ROUND(ROUND(Долги!$D$19-SUM($AL58:$AU58),2)-(SUM($H58:J58)-SUM($AL58:AN58)),2)))</f>
        <v>0.0</v>
      </c>
      <c r="L58" s="31">
        <f>AP58+MIN(V57+AF58-AP58,MAX(0,ROUND(ROUND(Долги!$D$19-SUM($AL58:$AU58),2)-(SUM($H58:K58)-SUM($AL58:AO58)),2)))</f>
        <v>0.0</v>
      </c>
      <c r="M58" s="31">
        <f>AQ58+MIN(W57+AG58-AQ58,MAX(0,ROUND(ROUND(Долги!$D$19-SUM($AL58:$AU58),2)-(SUM($H58:L58)-SUM($AL58:AP58)),2)))</f>
        <v>0.0</v>
      </c>
      <c r="N58" s="31">
        <f>AR58+MIN(X57+AH58-AR58,MAX(0,ROUND(ROUND(Долги!$D$19-SUM($AL58:$AU58),2)-(SUM($H58:M58)-SUM($AL58:AQ58)),2)))</f>
        <v>0.0</v>
      </c>
      <c r="O58" s="31">
        <f>AS58+MIN(Y57+AI58-AS58,MAX(0,ROUND(ROUND(Долги!$D$19-SUM($AL58:$AU58),2)-(SUM($H58:N58)-SUM($AL58:AR58)),2)))</f>
        <v>0.0</v>
      </c>
      <c r="P58" s="31">
        <f>AT58+MIN(Z57+AJ58-AT58,MAX(0,ROUND(ROUND(Долги!$D$19-SUM($AL58:$AU58),2)-(SUM($H58:O58)-SUM($AL58:AS58)),2)))</f>
        <v>0.0</v>
      </c>
      <c r="Q58" s="31">
        <f>AU58+MIN(AA57+AK58-AU58,MAX(0,ROUND(ROUND(Долги!$D$19-SUM($AL58:$AU58),2)-(SUM($H58:P58)-SUM($AL58:AT58)),2)))</f>
        <v>0.0</v>
      </c>
      <c r="R58" s="31">
        <f>IF(R57+AB58-H58&lt;=0.01,0,ROUND(R57+AB58-H58,2))</f>
        <v>0.0</v>
      </c>
      <c r="S58" s="31">
        <f>IF(S57+AC58-I58&lt;=0.01,0,ROUND(S57+AC58-I58,2))</f>
        <v>0.0</v>
      </c>
      <c r="T58" s="31">
        <f>IF(T57+AD58-J58&lt;=0.01,0,ROUND(T57+AD58-J58,2))</f>
        <v>0.0</v>
      </c>
      <c r="U58" s="31">
        <f>IF(U57+AE58-K58&lt;=0.01,0,ROUND(U57+AE58-K58,2))</f>
        <v>0.0</v>
      </c>
      <c r="V58" s="31">
        <f>IF(V57+AF58-L58&lt;=0.01,0,ROUND(V57+AF58-L58,2))</f>
        <v>0.0</v>
      </c>
      <c r="W58" s="31">
        <f>IF(W57+AG58-M58&lt;=0.01,0,ROUND(W57+AG58-M58,2))</f>
        <v>0.0</v>
      </c>
      <c r="X58" s="31">
        <f>IF(X57+AH58-N58&lt;=0.01,0,ROUND(X57+AH58-N58,2))</f>
        <v>0.0</v>
      </c>
      <c r="Y58" s="31">
        <f>IF(Y57+AI58-O58&lt;=0.01,0,ROUND(Y57+AI58-O58,2))</f>
        <v>0.0</v>
      </c>
      <c r="Z58" s="31">
        <f>IF(Z57+AJ58-P58&lt;=0.01,0,ROUND(Z57+AJ58-P58,2))</f>
        <v>0.0</v>
      </c>
      <c r="AA58" s="31">
        <f>IF(AA57+AK58-Q58&lt;=0.01,0,ROUND(AA57+AK58-Q58,2))</f>
        <v>0.0</v>
      </c>
      <c r="AB58" s="31">
        <f>ROUND(R57*AB$5/1200,2)</f>
        <v>0.0</v>
      </c>
      <c r="AC58" s="31">
        <f>ROUND(S57*AC$5/1200,2)</f>
        <v>0.0</v>
      </c>
      <c r="AD58" s="31">
        <f>ROUND(T57*AD$5/1200,2)</f>
        <v>0.0</v>
      </c>
      <c r="AE58" s="31">
        <f>ROUND(U57*AE$5/1200,2)</f>
        <v>0.0</v>
      </c>
      <c r="AF58" s="31">
        <f>ROUND(V57*AF$5/1200,2)</f>
        <v>0.0</v>
      </c>
      <c r="AG58" s="31">
        <f>ROUND(W57*AG$5/1200,2)</f>
        <v>0.0</v>
      </c>
      <c r="AH58" s="31">
        <f>ROUND(X57*AH$5/1200,2)</f>
        <v>0.0</v>
      </c>
      <c r="AI58" s="31">
        <f>ROUND(Y57*AI$5/1200,2)</f>
        <v>0.0</v>
      </c>
      <c r="AJ58" s="31">
        <f>ROUND(Z57*AJ$5/1200,2)</f>
        <v>0.0</v>
      </c>
      <c r="AK58" s="31">
        <f>ROUND(AA57*AK$5/1200,2)</f>
        <v>0.0</v>
      </c>
      <c r="AL58" s="31">
        <f>MIN(AL$5,R57+AB58)</f>
        <v>0.0</v>
      </c>
      <c r="AM58" s="31">
        <f>MIN(AM$5,S57+AC58)</f>
        <v>0.0</v>
      </c>
      <c r="AN58" s="31">
        <f>MIN(AN$5,T57+AD58)</f>
        <v>0.0</v>
      </c>
      <c r="AO58" s="31">
        <f>MIN(AO$5,U57+AE58)</f>
        <v>0.0</v>
      </c>
      <c r="AP58" s="31">
        <f>MIN(AP$5,V57+AF58)</f>
        <v>0.0</v>
      </c>
      <c r="AQ58" s="31">
        <f>MIN(AQ$5,W57+AG58)</f>
        <v>0.0</v>
      </c>
      <c r="AR58" s="31">
        <f>MIN(AR$5,X57+AH58)</f>
        <v>0.0</v>
      </c>
      <c r="AS58" s="31">
        <f>MIN(AS$5,Y57+AI58)</f>
        <v>0.0</v>
      </c>
      <c r="AT58" s="31">
        <f>MIN(AT$5,Z57+AJ58)</f>
        <v>0.0</v>
      </c>
      <c r="AU58" s="31">
        <f>MIN(AU$5,AA57+AK58)</f>
        <v>0.0</v>
      </c>
    </row>
    <row r="59">
      <c r="A59" s="25" t="str">
        <f>IF(F58&gt;0.005,54,"")</f>
        <v/>
      </c>
      <c r="B59" s="33" t="str">
        <f>IF(A59="","",EDATE(Долги!$D$5,53))</f>
        <v/>
      </c>
      <c r="C59" s="31">
        <f>SUM(H59:Q59)</f>
        <v>0.0</v>
      </c>
      <c r="D59" s="31">
        <f>SUM(AB59:AK59)</f>
        <v>0.0</v>
      </c>
      <c r="E59" s="31">
        <f>C59-D59</f>
        <v>0.0</v>
      </c>
      <c r="F59" s="31">
        <f>SUM(R59:AA59)</f>
        <v>0.0</v>
      </c>
      <c r="G59" s="34" t="str">
        <f>IF(OR(A59="",$F$5&lt;=0),"",REPT("█",ROUND(20*F59/$F$5,0)))</f>
        <v/>
      </c>
      <c r="H59" s="31">
        <f>AL59+MIN(R58+AB59-AL59,MAX(0,ROUND(Долги!$D$19-SUM($AL59:$AU59),2)))</f>
        <v>0.0</v>
      </c>
      <c r="I59" s="31">
        <f>AM59+MIN(S58+AC59-AM59,MAX(0,ROUND(ROUND(Долги!$D$19-SUM($AL59:$AU59),2)-(SUM($H59:H59)-SUM($AL59:AL59)),2)))</f>
        <v>0.0</v>
      </c>
      <c r="J59" s="31">
        <f>AN59+MIN(T58+AD59-AN59,MAX(0,ROUND(ROUND(Долги!$D$19-SUM($AL59:$AU59),2)-(SUM($H59:I59)-SUM($AL59:AM59)),2)))</f>
        <v>0.0</v>
      </c>
      <c r="K59" s="31">
        <f>AO59+MIN(U58+AE59-AO59,MAX(0,ROUND(ROUND(Долги!$D$19-SUM($AL59:$AU59),2)-(SUM($H59:J59)-SUM($AL59:AN59)),2)))</f>
        <v>0.0</v>
      </c>
      <c r="L59" s="31">
        <f>AP59+MIN(V58+AF59-AP59,MAX(0,ROUND(ROUND(Долги!$D$19-SUM($AL59:$AU59),2)-(SUM($H59:K59)-SUM($AL59:AO59)),2)))</f>
        <v>0.0</v>
      </c>
      <c r="M59" s="31">
        <f>AQ59+MIN(W58+AG59-AQ59,MAX(0,ROUND(ROUND(Долги!$D$19-SUM($AL59:$AU59),2)-(SUM($H59:L59)-SUM($AL59:AP59)),2)))</f>
        <v>0.0</v>
      </c>
      <c r="N59" s="31">
        <f>AR59+MIN(X58+AH59-AR59,MAX(0,ROUND(ROUND(Долги!$D$19-SUM($AL59:$AU59),2)-(SUM($H59:M59)-SUM($AL59:AQ59)),2)))</f>
        <v>0.0</v>
      </c>
      <c r="O59" s="31">
        <f>AS59+MIN(Y58+AI59-AS59,MAX(0,ROUND(ROUND(Долги!$D$19-SUM($AL59:$AU59),2)-(SUM($H59:N59)-SUM($AL59:AR59)),2)))</f>
        <v>0.0</v>
      </c>
      <c r="P59" s="31">
        <f>AT59+MIN(Z58+AJ59-AT59,MAX(0,ROUND(ROUND(Долги!$D$19-SUM($AL59:$AU59),2)-(SUM($H59:O59)-SUM($AL59:AS59)),2)))</f>
        <v>0.0</v>
      </c>
      <c r="Q59" s="31">
        <f>AU59+MIN(AA58+AK59-AU59,MAX(0,ROUND(ROUND(Долги!$D$19-SUM($AL59:$AU59),2)-(SUM($H59:P59)-SUM($AL59:AT59)),2)))</f>
        <v>0.0</v>
      </c>
      <c r="R59" s="31">
        <f>IF(R58+AB59-H59&lt;=0.01,0,ROUND(R58+AB59-H59,2))</f>
        <v>0.0</v>
      </c>
      <c r="S59" s="31">
        <f>IF(S58+AC59-I59&lt;=0.01,0,ROUND(S58+AC59-I59,2))</f>
        <v>0.0</v>
      </c>
      <c r="T59" s="31">
        <f>IF(T58+AD59-J59&lt;=0.01,0,ROUND(T58+AD59-J59,2))</f>
        <v>0.0</v>
      </c>
      <c r="U59" s="31">
        <f>IF(U58+AE59-K59&lt;=0.01,0,ROUND(U58+AE59-K59,2))</f>
        <v>0.0</v>
      </c>
      <c r="V59" s="31">
        <f>IF(V58+AF59-L59&lt;=0.01,0,ROUND(V58+AF59-L59,2))</f>
        <v>0.0</v>
      </c>
      <c r="W59" s="31">
        <f>IF(W58+AG59-M59&lt;=0.01,0,ROUND(W58+AG59-M59,2))</f>
        <v>0.0</v>
      </c>
      <c r="X59" s="31">
        <f>IF(X58+AH59-N59&lt;=0.01,0,ROUND(X58+AH59-N59,2))</f>
        <v>0.0</v>
      </c>
      <c r="Y59" s="31">
        <f>IF(Y58+AI59-O59&lt;=0.01,0,ROUND(Y58+AI59-O59,2))</f>
        <v>0.0</v>
      </c>
      <c r="Z59" s="31">
        <f>IF(Z58+AJ59-P59&lt;=0.01,0,ROUND(Z58+AJ59-P59,2))</f>
        <v>0.0</v>
      </c>
      <c r="AA59" s="31">
        <f>IF(AA58+AK59-Q59&lt;=0.01,0,ROUND(AA58+AK59-Q59,2))</f>
        <v>0.0</v>
      </c>
      <c r="AB59" s="31">
        <f>ROUND(R58*AB$5/1200,2)</f>
        <v>0.0</v>
      </c>
      <c r="AC59" s="31">
        <f>ROUND(S58*AC$5/1200,2)</f>
        <v>0.0</v>
      </c>
      <c r="AD59" s="31">
        <f>ROUND(T58*AD$5/1200,2)</f>
        <v>0.0</v>
      </c>
      <c r="AE59" s="31">
        <f>ROUND(U58*AE$5/1200,2)</f>
        <v>0.0</v>
      </c>
      <c r="AF59" s="31">
        <f>ROUND(V58*AF$5/1200,2)</f>
        <v>0.0</v>
      </c>
      <c r="AG59" s="31">
        <f>ROUND(W58*AG$5/1200,2)</f>
        <v>0.0</v>
      </c>
      <c r="AH59" s="31">
        <f>ROUND(X58*AH$5/1200,2)</f>
        <v>0.0</v>
      </c>
      <c r="AI59" s="31">
        <f>ROUND(Y58*AI$5/1200,2)</f>
        <v>0.0</v>
      </c>
      <c r="AJ59" s="31">
        <f>ROUND(Z58*AJ$5/1200,2)</f>
        <v>0.0</v>
      </c>
      <c r="AK59" s="31">
        <f>ROUND(AA58*AK$5/1200,2)</f>
        <v>0.0</v>
      </c>
      <c r="AL59" s="31">
        <f>MIN(AL$5,R58+AB59)</f>
        <v>0.0</v>
      </c>
      <c r="AM59" s="31">
        <f>MIN(AM$5,S58+AC59)</f>
        <v>0.0</v>
      </c>
      <c r="AN59" s="31">
        <f>MIN(AN$5,T58+AD59)</f>
        <v>0.0</v>
      </c>
      <c r="AO59" s="31">
        <f>MIN(AO$5,U58+AE59)</f>
        <v>0.0</v>
      </c>
      <c r="AP59" s="31">
        <f>MIN(AP$5,V58+AF59)</f>
        <v>0.0</v>
      </c>
      <c r="AQ59" s="31">
        <f>MIN(AQ$5,W58+AG59)</f>
        <v>0.0</v>
      </c>
      <c r="AR59" s="31">
        <f>MIN(AR$5,X58+AH59)</f>
        <v>0.0</v>
      </c>
      <c r="AS59" s="31">
        <f>MIN(AS$5,Y58+AI59)</f>
        <v>0.0</v>
      </c>
      <c r="AT59" s="31">
        <f>MIN(AT$5,Z58+AJ59)</f>
        <v>0.0</v>
      </c>
      <c r="AU59" s="31">
        <f>MIN(AU$5,AA58+AK59)</f>
        <v>0.0</v>
      </c>
    </row>
    <row r="60">
      <c r="A60" s="25" t="str">
        <f>IF(F59&gt;0.005,55,"")</f>
        <v/>
      </c>
      <c r="B60" s="33" t="str">
        <f>IF(A60="","",EDATE(Долги!$D$5,54))</f>
        <v/>
      </c>
      <c r="C60" s="31">
        <f>SUM(H60:Q60)</f>
        <v>0.0</v>
      </c>
      <c r="D60" s="31">
        <f>SUM(AB60:AK60)</f>
        <v>0.0</v>
      </c>
      <c r="E60" s="31">
        <f>C60-D60</f>
        <v>0.0</v>
      </c>
      <c r="F60" s="31">
        <f>SUM(R60:AA60)</f>
        <v>0.0</v>
      </c>
      <c r="G60" s="34" t="str">
        <f>IF(OR(A60="",$F$5&lt;=0),"",REPT("█",ROUND(20*F60/$F$5,0)))</f>
        <v/>
      </c>
      <c r="H60" s="31">
        <f>AL60+MIN(R59+AB60-AL60,MAX(0,ROUND(Долги!$D$19-SUM($AL60:$AU60),2)))</f>
        <v>0.0</v>
      </c>
      <c r="I60" s="31">
        <f>AM60+MIN(S59+AC60-AM60,MAX(0,ROUND(ROUND(Долги!$D$19-SUM($AL60:$AU60),2)-(SUM($H60:H60)-SUM($AL60:AL60)),2)))</f>
        <v>0.0</v>
      </c>
      <c r="J60" s="31">
        <f>AN60+MIN(T59+AD60-AN60,MAX(0,ROUND(ROUND(Долги!$D$19-SUM($AL60:$AU60),2)-(SUM($H60:I60)-SUM($AL60:AM60)),2)))</f>
        <v>0.0</v>
      </c>
      <c r="K60" s="31">
        <f>AO60+MIN(U59+AE60-AO60,MAX(0,ROUND(ROUND(Долги!$D$19-SUM($AL60:$AU60),2)-(SUM($H60:J60)-SUM($AL60:AN60)),2)))</f>
        <v>0.0</v>
      </c>
      <c r="L60" s="31">
        <f>AP60+MIN(V59+AF60-AP60,MAX(0,ROUND(ROUND(Долги!$D$19-SUM($AL60:$AU60),2)-(SUM($H60:K60)-SUM($AL60:AO60)),2)))</f>
        <v>0.0</v>
      </c>
      <c r="M60" s="31">
        <f>AQ60+MIN(W59+AG60-AQ60,MAX(0,ROUND(ROUND(Долги!$D$19-SUM($AL60:$AU60),2)-(SUM($H60:L60)-SUM($AL60:AP60)),2)))</f>
        <v>0.0</v>
      </c>
      <c r="N60" s="31">
        <f>AR60+MIN(X59+AH60-AR60,MAX(0,ROUND(ROUND(Долги!$D$19-SUM($AL60:$AU60),2)-(SUM($H60:M60)-SUM($AL60:AQ60)),2)))</f>
        <v>0.0</v>
      </c>
      <c r="O60" s="31">
        <f>AS60+MIN(Y59+AI60-AS60,MAX(0,ROUND(ROUND(Долги!$D$19-SUM($AL60:$AU60),2)-(SUM($H60:N60)-SUM($AL60:AR60)),2)))</f>
        <v>0.0</v>
      </c>
      <c r="P60" s="31">
        <f>AT60+MIN(Z59+AJ60-AT60,MAX(0,ROUND(ROUND(Долги!$D$19-SUM($AL60:$AU60),2)-(SUM($H60:O60)-SUM($AL60:AS60)),2)))</f>
        <v>0.0</v>
      </c>
      <c r="Q60" s="31">
        <f>AU60+MIN(AA59+AK60-AU60,MAX(0,ROUND(ROUND(Долги!$D$19-SUM($AL60:$AU60),2)-(SUM($H60:P60)-SUM($AL60:AT60)),2)))</f>
        <v>0.0</v>
      </c>
      <c r="R60" s="31">
        <f>IF(R59+AB60-H60&lt;=0.01,0,ROUND(R59+AB60-H60,2))</f>
        <v>0.0</v>
      </c>
      <c r="S60" s="31">
        <f>IF(S59+AC60-I60&lt;=0.01,0,ROUND(S59+AC60-I60,2))</f>
        <v>0.0</v>
      </c>
      <c r="T60" s="31">
        <f>IF(T59+AD60-J60&lt;=0.01,0,ROUND(T59+AD60-J60,2))</f>
        <v>0.0</v>
      </c>
      <c r="U60" s="31">
        <f>IF(U59+AE60-K60&lt;=0.01,0,ROUND(U59+AE60-K60,2))</f>
        <v>0.0</v>
      </c>
      <c r="V60" s="31">
        <f>IF(V59+AF60-L60&lt;=0.01,0,ROUND(V59+AF60-L60,2))</f>
        <v>0.0</v>
      </c>
      <c r="W60" s="31">
        <f>IF(W59+AG60-M60&lt;=0.01,0,ROUND(W59+AG60-M60,2))</f>
        <v>0.0</v>
      </c>
      <c r="X60" s="31">
        <f>IF(X59+AH60-N60&lt;=0.01,0,ROUND(X59+AH60-N60,2))</f>
        <v>0.0</v>
      </c>
      <c r="Y60" s="31">
        <f>IF(Y59+AI60-O60&lt;=0.01,0,ROUND(Y59+AI60-O60,2))</f>
        <v>0.0</v>
      </c>
      <c r="Z60" s="31">
        <f>IF(Z59+AJ60-P60&lt;=0.01,0,ROUND(Z59+AJ60-P60,2))</f>
        <v>0.0</v>
      </c>
      <c r="AA60" s="31">
        <f>IF(AA59+AK60-Q60&lt;=0.01,0,ROUND(AA59+AK60-Q60,2))</f>
        <v>0.0</v>
      </c>
      <c r="AB60" s="31">
        <f>ROUND(R59*AB$5/1200,2)</f>
        <v>0.0</v>
      </c>
      <c r="AC60" s="31">
        <f>ROUND(S59*AC$5/1200,2)</f>
        <v>0.0</v>
      </c>
      <c r="AD60" s="31">
        <f>ROUND(T59*AD$5/1200,2)</f>
        <v>0.0</v>
      </c>
      <c r="AE60" s="31">
        <f>ROUND(U59*AE$5/1200,2)</f>
        <v>0.0</v>
      </c>
      <c r="AF60" s="31">
        <f>ROUND(V59*AF$5/1200,2)</f>
        <v>0.0</v>
      </c>
      <c r="AG60" s="31">
        <f>ROUND(W59*AG$5/1200,2)</f>
        <v>0.0</v>
      </c>
      <c r="AH60" s="31">
        <f>ROUND(X59*AH$5/1200,2)</f>
        <v>0.0</v>
      </c>
      <c r="AI60" s="31">
        <f>ROUND(Y59*AI$5/1200,2)</f>
        <v>0.0</v>
      </c>
      <c r="AJ60" s="31">
        <f>ROUND(Z59*AJ$5/1200,2)</f>
        <v>0.0</v>
      </c>
      <c r="AK60" s="31">
        <f>ROUND(AA59*AK$5/1200,2)</f>
        <v>0.0</v>
      </c>
      <c r="AL60" s="31">
        <f>MIN(AL$5,R59+AB60)</f>
        <v>0.0</v>
      </c>
      <c r="AM60" s="31">
        <f>MIN(AM$5,S59+AC60)</f>
        <v>0.0</v>
      </c>
      <c r="AN60" s="31">
        <f>MIN(AN$5,T59+AD60)</f>
        <v>0.0</v>
      </c>
      <c r="AO60" s="31">
        <f>MIN(AO$5,U59+AE60)</f>
        <v>0.0</v>
      </c>
      <c r="AP60" s="31">
        <f>MIN(AP$5,V59+AF60)</f>
        <v>0.0</v>
      </c>
      <c r="AQ60" s="31">
        <f>MIN(AQ$5,W59+AG60)</f>
        <v>0.0</v>
      </c>
      <c r="AR60" s="31">
        <f>MIN(AR$5,X59+AH60)</f>
        <v>0.0</v>
      </c>
      <c r="AS60" s="31">
        <f>MIN(AS$5,Y59+AI60)</f>
        <v>0.0</v>
      </c>
      <c r="AT60" s="31">
        <f>MIN(AT$5,Z59+AJ60)</f>
        <v>0.0</v>
      </c>
      <c r="AU60" s="31">
        <f>MIN(AU$5,AA59+AK60)</f>
        <v>0.0</v>
      </c>
    </row>
    <row r="61">
      <c r="A61" s="25" t="str">
        <f>IF(F60&gt;0.005,56,"")</f>
        <v/>
      </c>
      <c r="B61" s="33" t="str">
        <f>IF(A61="","",EDATE(Долги!$D$5,55))</f>
        <v/>
      </c>
      <c r="C61" s="31">
        <f>SUM(H61:Q61)</f>
        <v>0.0</v>
      </c>
      <c r="D61" s="31">
        <f>SUM(AB61:AK61)</f>
        <v>0.0</v>
      </c>
      <c r="E61" s="31">
        <f>C61-D61</f>
        <v>0.0</v>
      </c>
      <c r="F61" s="31">
        <f>SUM(R61:AA61)</f>
        <v>0.0</v>
      </c>
      <c r="G61" s="34" t="str">
        <f>IF(OR(A61="",$F$5&lt;=0),"",REPT("█",ROUND(20*F61/$F$5,0)))</f>
        <v/>
      </c>
      <c r="H61" s="31">
        <f>AL61+MIN(R60+AB61-AL61,MAX(0,ROUND(Долги!$D$19-SUM($AL61:$AU61),2)))</f>
        <v>0.0</v>
      </c>
      <c r="I61" s="31">
        <f>AM61+MIN(S60+AC61-AM61,MAX(0,ROUND(ROUND(Долги!$D$19-SUM($AL61:$AU61),2)-(SUM($H61:H61)-SUM($AL61:AL61)),2)))</f>
        <v>0.0</v>
      </c>
      <c r="J61" s="31">
        <f>AN61+MIN(T60+AD61-AN61,MAX(0,ROUND(ROUND(Долги!$D$19-SUM($AL61:$AU61),2)-(SUM($H61:I61)-SUM($AL61:AM61)),2)))</f>
        <v>0.0</v>
      </c>
      <c r="K61" s="31">
        <f>AO61+MIN(U60+AE61-AO61,MAX(0,ROUND(ROUND(Долги!$D$19-SUM($AL61:$AU61),2)-(SUM($H61:J61)-SUM($AL61:AN61)),2)))</f>
        <v>0.0</v>
      </c>
      <c r="L61" s="31">
        <f>AP61+MIN(V60+AF61-AP61,MAX(0,ROUND(ROUND(Долги!$D$19-SUM($AL61:$AU61),2)-(SUM($H61:K61)-SUM($AL61:AO61)),2)))</f>
        <v>0.0</v>
      </c>
      <c r="M61" s="31">
        <f>AQ61+MIN(W60+AG61-AQ61,MAX(0,ROUND(ROUND(Долги!$D$19-SUM($AL61:$AU61),2)-(SUM($H61:L61)-SUM($AL61:AP61)),2)))</f>
        <v>0.0</v>
      </c>
      <c r="N61" s="31">
        <f>AR61+MIN(X60+AH61-AR61,MAX(0,ROUND(ROUND(Долги!$D$19-SUM($AL61:$AU61),2)-(SUM($H61:M61)-SUM($AL61:AQ61)),2)))</f>
        <v>0.0</v>
      </c>
      <c r="O61" s="31">
        <f>AS61+MIN(Y60+AI61-AS61,MAX(0,ROUND(ROUND(Долги!$D$19-SUM($AL61:$AU61),2)-(SUM($H61:N61)-SUM($AL61:AR61)),2)))</f>
        <v>0.0</v>
      </c>
      <c r="P61" s="31">
        <f>AT61+MIN(Z60+AJ61-AT61,MAX(0,ROUND(ROUND(Долги!$D$19-SUM($AL61:$AU61),2)-(SUM($H61:O61)-SUM($AL61:AS61)),2)))</f>
        <v>0.0</v>
      </c>
      <c r="Q61" s="31">
        <f>AU61+MIN(AA60+AK61-AU61,MAX(0,ROUND(ROUND(Долги!$D$19-SUM($AL61:$AU61),2)-(SUM($H61:P61)-SUM($AL61:AT61)),2)))</f>
        <v>0.0</v>
      </c>
      <c r="R61" s="31">
        <f>IF(R60+AB61-H61&lt;=0.01,0,ROUND(R60+AB61-H61,2))</f>
        <v>0.0</v>
      </c>
      <c r="S61" s="31">
        <f>IF(S60+AC61-I61&lt;=0.01,0,ROUND(S60+AC61-I61,2))</f>
        <v>0.0</v>
      </c>
      <c r="T61" s="31">
        <f>IF(T60+AD61-J61&lt;=0.01,0,ROUND(T60+AD61-J61,2))</f>
        <v>0.0</v>
      </c>
      <c r="U61" s="31">
        <f>IF(U60+AE61-K61&lt;=0.01,0,ROUND(U60+AE61-K61,2))</f>
        <v>0.0</v>
      </c>
      <c r="V61" s="31">
        <f>IF(V60+AF61-L61&lt;=0.01,0,ROUND(V60+AF61-L61,2))</f>
        <v>0.0</v>
      </c>
      <c r="W61" s="31">
        <f>IF(W60+AG61-M61&lt;=0.01,0,ROUND(W60+AG61-M61,2))</f>
        <v>0.0</v>
      </c>
      <c r="X61" s="31">
        <f>IF(X60+AH61-N61&lt;=0.01,0,ROUND(X60+AH61-N61,2))</f>
        <v>0.0</v>
      </c>
      <c r="Y61" s="31">
        <f>IF(Y60+AI61-O61&lt;=0.01,0,ROUND(Y60+AI61-O61,2))</f>
        <v>0.0</v>
      </c>
      <c r="Z61" s="31">
        <f>IF(Z60+AJ61-P61&lt;=0.01,0,ROUND(Z60+AJ61-P61,2))</f>
        <v>0.0</v>
      </c>
      <c r="AA61" s="31">
        <f>IF(AA60+AK61-Q61&lt;=0.01,0,ROUND(AA60+AK61-Q61,2))</f>
        <v>0.0</v>
      </c>
      <c r="AB61" s="31">
        <f>ROUND(R60*AB$5/1200,2)</f>
        <v>0.0</v>
      </c>
      <c r="AC61" s="31">
        <f>ROUND(S60*AC$5/1200,2)</f>
        <v>0.0</v>
      </c>
      <c r="AD61" s="31">
        <f>ROUND(T60*AD$5/1200,2)</f>
        <v>0.0</v>
      </c>
      <c r="AE61" s="31">
        <f>ROUND(U60*AE$5/1200,2)</f>
        <v>0.0</v>
      </c>
      <c r="AF61" s="31">
        <f>ROUND(V60*AF$5/1200,2)</f>
        <v>0.0</v>
      </c>
      <c r="AG61" s="31">
        <f>ROUND(W60*AG$5/1200,2)</f>
        <v>0.0</v>
      </c>
      <c r="AH61" s="31">
        <f>ROUND(X60*AH$5/1200,2)</f>
        <v>0.0</v>
      </c>
      <c r="AI61" s="31">
        <f>ROUND(Y60*AI$5/1200,2)</f>
        <v>0.0</v>
      </c>
      <c r="AJ61" s="31">
        <f>ROUND(Z60*AJ$5/1200,2)</f>
        <v>0.0</v>
      </c>
      <c r="AK61" s="31">
        <f>ROUND(AA60*AK$5/1200,2)</f>
        <v>0.0</v>
      </c>
      <c r="AL61" s="31">
        <f>MIN(AL$5,R60+AB61)</f>
        <v>0.0</v>
      </c>
      <c r="AM61" s="31">
        <f>MIN(AM$5,S60+AC61)</f>
        <v>0.0</v>
      </c>
      <c r="AN61" s="31">
        <f>MIN(AN$5,T60+AD61)</f>
        <v>0.0</v>
      </c>
      <c r="AO61" s="31">
        <f>MIN(AO$5,U60+AE61)</f>
        <v>0.0</v>
      </c>
      <c r="AP61" s="31">
        <f>MIN(AP$5,V60+AF61)</f>
        <v>0.0</v>
      </c>
      <c r="AQ61" s="31">
        <f>MIN(AQ$5,W60+AG61)</f>
        <v>0.0</v>
      </c>
      <c r="AR61" s="31">
        <f>MIN(AR$5,X60+AH61)</f>
        <v>0.0</v>
      </c>
      <c r="AS61" s="31">
        <f>MIN(AS$5,Y60+AI61)</f>
        <v>0.0</v>
      </c>
      <c r="AT61" s="31">
        <f>MIN(AT$5,Z60+AJ61)</f>
        <v>0.0</v>
      </c>
      <c r="AU61" s="31">
        <f>MIN(AU$5,AA60+AK61)</f>
        <v>0.0</v>
      </c>
    </row>
    <row r="62">
      <c r="A62" s="25" t="str">
        <f>IF(F61&gt;0.005,57,"")</f>
        <v/>
      </c>
      <c r="B62" s="33" t="str">
        <f>IF(A62="","",EDATE(Долги!$D$5,56))</f>
        <v/>
      </c>
      <c r="C62" s="31">
        <f>SUM(H62:Q62)</f>
        <v>0.0</v>
      </c>
      <c r="D62" s="31">
        <f>SUM(AB62:AK62)</f>
        <v>0.0</v>
      </c>
      <c r="E62" s="31">
        <f>C62-D62</f>
        <v>0.0</v>
      </c>
      <c r="F62" s="31">
        <f>SUM(R62:AA62)</f>
        <v>0.0</v>
      </c>
      <c r="G62" s="34" t="str">
        <f>IF(OR(A62="",$F$5&lt;=0),"",REPT("█",ROUND(20*F62/$F$5,0)))</f>
        <v/>
      </c>
      <c r="H62" s="31">
        <f>AL62+MIN(R61+AB62-AL62,MAX(0,ROUND(Долги!$D$19-SUM($AL62:$AU62),2)))</f>
        <v>0.0</v>
      </c>
      <c r="I62" s="31">
        <f>AM62+MIN(S61+AC62-AM62,MAX(0,ROUND(ROUND(Долги!$D$19-SUM($AL62:$AU62),2)-(SUM($H62:H62)-SUM($AL62:AL62)),2)))</f>
        <v>0.0</v>
      </c>
      <c r="J62" s="31">
        <f>AN62+MIN(T61+AD62-AN62,MAX(0,ROUND(ROUND(Долги!$D$19-SUM($AL62:$AU62),2)-(SUM($H62:I62)-SUM($AL62:AM62)),2)))</f>
        <v>0.0</v>
      </c>
      <c r="K62" s="31">
        <f>AO62+MIN(U61+AE62-AO62,MAX(0,ROUND(ROUND(Долги!$D$19-SUM($AL62:$AU62),2)-(SUM($H62:J62)-SUM($AL62:AN62)),2)))</f>
        <v>0.0</v>
      </c>
      <c r="L62" s="31">
        <f>AP62+MIN(V61+AF62-AP62,MAX(0,ROUND(ROUND(Долги!$D$19-SUM($AL62:$AU62),2)-(SUM($H62:K62)-SUM($AL62:AO62)),2)))</f>
        <v>0.0</v>
      </c>
      <c r="M62" s="31">
        <f>AQ62+MIN(W61+AG62-AQ62,MAX(0,ROUND(ROUND(Долги!$D$19-SUM($AL62:$AU62),2)-(SUM($H62:L62)-SUM($AL62:AP62)),2)))</f>
        <v>0.0</v>
      </c>
      <c r="N62" s="31">
        <f>AR62+MIN(X61+AH62-AR62,MAX(0,ROUND(ROUND(Долги!$D$19-SUM($AL62:$AU62),2)-(SUM($H62:M62)-SUM($AL62:AQ62)),2)))</f>
        <v>0.0</v>
      </c>
      <c r="O62" s="31">
        <f>AS62+MIN(Y61+AI62-AS62,MAX(0,ROUND(ROUND(Долги!$D$19-SUM($AL62:$AU62),2)-(SUM($H62:N62)-SUM($AL62:AR62)),2)))</f>
        <v>0.0</v>
      </c>
      <c r="P62" s="31">
        <f>AT62+MIN(Z61+AJ62-AT62,MAX(0,ROUND(ROUND(Долги!$D$19-SUM($AL62:$AU62),2)-(SUM($H62:O62)-SUM($AL62:AS62)),2)))</f>
        <v>0.0</v>
      </c>
      <c r="Q62" s="31">
        <f>AU62+MIN(AA61+AK62-AU62,MAX(0,ROUND(ROUND(Долги!$D$19-SUM($AL62:$AU62),2)-(SUM($H62:P62)-SUM($AL62:AT62)),2)))</f>
        <v>0.0</v>
      </c>
      <c r="R62" s="31">
        <f>IF(R61+AB62-H62&lt;=0.01,0,ROUND(R61+AB62-H62,2))</f>
        <v>0.0</v>
      </c>
      <c r="S62" s="31">
        <f>IF(S61+AC62-I62&lt;=0.01,0,ROUND(S61+AC62-I62,2))</f>
        <v>0.0</v>
      </c>
      <c r="T62" s="31">
        <f>IF(T61+AD62-J62&lt;=0.01,0,ROUND(T61+AD62-J62,2))</f>
        <v>0.0</v>
      </c>
      <c r="U62" s="31">
        <f>IF(U61+AE62-K62&lt;=0.01,0,ROUND(U61+AE62-K62,2))</f>
        <v>0.0</v>
      </c>
      <c r="V62" s="31">
        <f>IF(V61+AF62-L62&lt;=0.01,0,ROUND(V61+AF62-L62,2))</f>
        <v>0.0</v>
      </c>
      <c r="W62" s="31">
        <f>IF(W61+AG62-M62&lt;=0.01,0,ROUND(W61+AG62-M62,2))</f>
        <v>0.0</v>
      </c>
      <c r="X62" s="31">
        <f>IF(X61+AH62-N62&lt;=0.01,0,ROUND(X61+AH62-N62,2))</f>
        <v>0.0</v>
      </c>
      <c r="Y62" s="31">
        <f>IF(Y61+AI62-O62&lt;=0.01,0,ROUND(Y61+AI62-O62,2))</f>
        <v>0.0</v>
      </c>
      <c r="Z62" s="31">
        <f>IF(Z61+AJ62-P62&lt;=0.01,0,ROUND(Z61+AJ62-P62,2))</f>
        <v>0.0</v>
      </c>
      <c r="AA62" s="31">
        <f>IF(AA61+AK62-Q62&lt;=0.01,0,ROUND(AA61+AK62-Q62,2))</f>
        <v>0.0</v>
      </c>
      <c r="AB62" s="31">
        <f>ROUND(R61*AB$5/1200,2)</f>
        <v>0.0</v>
      </c>
      <c r="AC62" s="31">
        <f>ROUND(S61*AC$5/1200,2)</f>
        <v>0.0</v>
      </c>
      <c r="AD62" s="31">
        <f>ROUND(T61*AD$5/1200,2)</f>
        <v>0.0</v>
      </c>
      <c r="AE62" s="31">
        <f>ROUND(U61*AE$5/1200,2)</f>
        <v>0.0</v>
      </c>
      <c r="AF62" s="31">
        <f>ROUND(V61*AF$5/1200,2)</f>
        <v>0.0</v>
      </c>
      <c r="AG62" s="31">
        <f>ROUND(W61*AG$5/1200,2)</f>
        <v>0.0</v>
      </c>
      <c r="AH62" s="31">
        <f>ROUND(X61*AH$5/1200,2)</f>
        <v>0.0</v>
      </c>
      <c r="AI62" s="31">
        <f>ROUND(Y61*AI$5/1200,2)</f>
        <v>0.0</v>
      </c>
      <c r="AJ62" s="31">
        <f>ROUND(Z61*AJ$5/1200,2)</f>
        <v>0.0</v>
      </c>
      <c r="AK62" s="31">
        <f>ROUND(AA61*AK$5/1200,2)</f>
        <v>0.0</v>
      </c>
      <c r="AL62" s="31">
        <f>MIN(AL$5,R61+AB62)</f>
        <v>0.0</v>
      </c>
      <c r="AM62" s="31">
        <f>MIN(AM$5,S61+AC62)</f>
        <v>0.0</v>
      </c>
      <c r="AN62" s="31">
        <f>MIN(AN$5,T61+AD62)</f>
        <v>0.0</v>
      </c>
      <c r="AO62" s="31">
        <f>MIN(AO$5,U61+AE62)</f>
        <v>0.0</v>
      </c>
      <c r="AP62" s="31">
        <f>MIN(AP$5,V61+AF62)</f>
        <v>0.0</v>
      </c>
      <c r="AQ62" s="31">
        <f>MIN(AQ$5,W61+AG62)</f>
        <v>0.0</v>
      </c>
      <c r="AR62" s="31">
        <f>MIN(AR$5,X61+AH62)</f>
        <v>0.0</v>
      </c>
      <c r="AS62" s="31">
        <f>MIN(AS$5,Y61+AI62)</f>
        <v>0.0</v>
      </c>
      <c r="AT62" s="31">
        <f>MIN(AT$5,Z61+AJ62)</f>
        <v>0.0</v>
      </c>
      <c r="AU62" s="31">
        <f>MIN(AU$5,AA61+AK62)</f>
        <v>0.0</v>
      </c>
    </row>
    <row r="63">
      <c r="A63" s="25" t="str">
        <f>IF(F62&gt;0.005,58,"")</f>
        <v/>
      </c>
      <c r="B63" s="33" t="str">
        <f>IF(A63="","",EDATE(Долги!$D$5,57))</f>
        <v/>
      </c>
      <c r="C63" s="31">
        <f>SUM(H63:Q63)</f>
        <v>0.0</v>
      </c>
      <c r="D63" s="31">
        <f>SUM(AB63:AK63)</f>
        <v>0.0</v>
      </c>
      <c r="E63" s="31">
        <f>C63-D63</f>
        <v>0.0</v>
      </c>
      <c r="F63" s="31">
        <f>SUM(R63:AA63)</f>
        <v>0.0</v>
      </c>
      <c r="G63" s="34" t="str">
        <f>IF(OR(A63="",$F$5&lt;=0),"",REPT("█",ROUND(20*F63/$F$5,0)))</f>
        <v/>
      </c>
      <c r="H63" s="31">
        <f>AL63+MIN(R62+AB63-AL63,MAX(0,ROUND(Долги!$D$19-SUM($AL63:$AU63),2)))</f>
        <v>0.0</v>
      </c>
      <c r="I63" s="31">
        <f>AM63+MIN(S62+AC63-AM63,MAX(0,ROUND(ROUND(Долги!$D$19-SUM($AL63:$AU63),2)-(SUM($H63:H63)-SUM($AL63:AL63)),2)))</f>
        <v>0.0</v>
      </c>
      <c r="J63" s="31">
        <f>AN63+MIN(T62+AD63-AN63,MAX(0,ROUND(ROUND(Долги!$D$19-SUM($AL63:$AU63),2)-(SUM($H63:I63)-SUM($AL63:AM63)),2)))</f>
        <v>0.0</v>
      </c>
      <c r="K63" s="31">
        <f>AO63+MIN(U62+AE63-AO63,MAX(0,ROUND(ROUND(Долги!$D$19-SUM($AL63:$AU63),2)-(SUM($H63:J63)-SUM($AL63:AN63)),2)))</f>
        <v>0.0</v>
      </c>
      <c r="L63" s="31">
        <f>AP63+MIN(V62+AF63-AP63,MAX(0,ROUND(ROUND(Долги!$D$19-SUM($AL63:$AU63),2)-(SUM($H63:K63)-SUM($AL63:AO63)),2)))</f>
        <v>0.0</v>
      </c>
      <c r="M63" s="31">
        <f>AQ63+MIN(W62+AG63-AQ63,MAX(0,ROUND(ROUND(Долги!$D$19-SUM($AL63:$AU63),2)-(SUM($H63:L63)-SUM($AL63:AP63)),2)))</f>
        <v>0.0</v>
      </c>
      <c r="N63" s="31">
        <f>AR63+MIN(X62+AH63-AR63,MAX(0,ROUND(ROUND(Долги!$D$19-SUM($AL63:$AU63),2)-(SUM($H63:M63)-SUM($AL63:AQ63)),2)))</f>
        <v>0.0</v>
      </c>
      <c r="O63" s="31">
        <f>AS63+MIN(Y62+AI63-AS63,MAX(0,ROUND(ROUND(Долги!$D$19-SUM($AL63:$AU63),2)-(SUM($H63:N63)-SUM($AL63:AR63)),2)))</f>
        <v>0.0</v>
      </c>
      <c r="P63" s="31">
        <f>AT63+MIN(Z62+AJ63-AT63,MAX(0,ROUND(ROUND(Долги!$D$19-SUM($AL63:$AU63),2)-(SUM($H63:O63)-SUM($AL63:AS63)),2)))</f>
        <v>0.0</v>
      </c>
      <c r="Q63" s="31">
        <f>AU63+MIN(AA62+AK63-AU63,MAX(0,ROUND(ROUND(Долги!$D$19-SUM($AL63:$AU63),2)-(SUM($H63:P63)-SUM($AL63:AT63)),2)))</f>
        <v>0.0</v>
      </c>
      <c r="R63" s="31">
        <f>IF(R62+AB63-H63&lt;=0.01,0,ROUND(R62+AB63-H63,2))</f>
        <v>0.0</v>
      </c>
      <c r="S63" s="31">
        <f>IF(S62+AC63-I63&lt;=0.01,0,ROUND(S62+AC63-I63,2))</f>
        <v>0.0</v>
      </c>
      <c r="T63" s="31">
        <f>IF(T62+AD63-J63&lt;=0.01,0,ROUND(T62+AD63-J63,2))</f>
        <v>0.0</v>
      </c>
      <c r="U63" s="31">
        <f>IF(U62+AE63-K63&lt;=0.01,0,ROUND(U62+AE63-K63,2))</f>
        <v>0.0</v>
      </c>
      <c r="V63" s="31">
        <f>IF(V62+AF63-L63&lt;=0.01,0,ROUND(V62+AF63-L63,2))</f>
        <v>0.0</v>
      </c>
      <c r="W63" s="31">
        <f>IF(W62+AG63-M63&lt;=0.01,0,ROUND(W62+AG63-M63,2))</f>
        <v>0.0</v>
      </c>
      <c r="X63" s="31">
        <f>IF(X62+AH63-N63&lt;=0.01,0,ROUND(X62+AH63-N63,2))</f>
        <v>0.0</v>
      </c>
      <c r="Y63" s="31">
        <f>IF(Y62+AI63-O63&lt;=0.01,0,ROUND(Y62+AI63-O63,2))</f>
        <v>0.0</v>
      </c>
      <c r="Z63" s="31">
        <f>IF(Z62+AJ63-P63&lt;=0.01,0,ROUND(Z62+AJ63-P63,2))</f>
        <v>0.0</v>
      </c>
      <c r="AA63" s="31">
        <f>IF(AA62+AK63-Q63&lt;=0.01,0,ROUND(AA62+AK63-Q63,2))</f>
        <v>0.0</v>
      </c>
      <c r="AB63" s="31">
        <f>ROUND(R62*AB$5/1200,2)</f>
        <v>0.0</v>
      </c>
      <c r="AC63" s="31">
        <f>ROUND(S62*AC$5/1200,2)</f>
        <v>0.0</v>
      </c>
      <c r="AD63" s="31">
        <f>ROUND(T62*AD$5/1200,2)</f>
        <v>0.0</v>
      </c>
      <c r="AE63" s="31">
        <f>ROUND(U62*AE$5/1200,2)</f>
        <v>0.0</v>
      </c>
      <c r="AF63" s="31">
        <f>ROUND(V62*AF$5/1200,2)</f>
        <v>0.0</v>
      </c>
      <c r="AG63" s="31">
        <f>ROUND(W62*AG$5/1200,2)</f>
        <v>0.0</v>
      </c>
      <c r="AH63" s="31">
        <f>ROUND(X62*AH$5/1200,2)</f>
        <v>0.0</v>
      </c>
      <c r="AI63" s="31">
        <f>ROUND(Y62*AI$5/1200,2)</f>
        <v>0.0</v>
      </c>
      <c r="AJ63" s="31">
        <f>ROUND(Z62*AJ$5/1200,2)</f>
        <v>0.0</v>
      </c>
      <c r="AK63" s="31">
        <f>ROUND(AA62*AK$5/1200,2)</f>
        <v>0.0</v>
      </c>
      <c r="AL63" s="31">
        <f>MIN(AL$5,R62+AB63)</f>
        <v>0.0</v>
      </c>
      <c r="AM63" s="31">
        <f>MIN(AM$5,S62+AC63)</f>
        <v>0.0</v>
      </c>
      <c r="AN63" s="31">
        <f>MIN(AN$5,T62+AD63)</f>
        <v>0.0</v>
      </c>
      <c r="AO63" s="31">
        <f>MIN(AO$5,U62+AE63)</f>
        <v>0.0</v>
      </c>
      <c r="AP63" s="31">
        <f>MIN(AP$5,V62+AF63)</f>
        <v>0.0</v>
      </c>
      <c r="AQ63" s="31">
        <f>MIN(AQ$5,W62+AG63)</f>
        <v>0.0</v>
      </c>
      <c r="AR63" s="31">
        <f>MIN(AR$5,X62+AH63)</f>
        <v>0.0</v>
      </c>
      <c r="AS63" s="31">
        <f>MIN(AS$5,Y62+AI63)</f>
        <v>0.0</v>
      </c>
      <c r="AT63" s="31">
        <f>MIN(AT$5,Z62+AJ63)</f>
        <v>0.0</v>
      </c>
      <c r="AU63" s="31">
        <f>MIN(AU$5,AA62+AK63)</f>
        <v>0.0</v>
      </c>
    </row>
    <row r="64">
      <c r="A64" s="25" t="str">
        <f>IF(F63&gt;0.005,59,"")</f>
        <v/>
      </c>
      <c r="B64" s="33" t="str">
        <f>IF(A64="","",EDATE(Долги!$D$5,58))</f>
        <v/>
      </c>
      <c r="C64" s="31">
        <f>SUM(H64:Q64)</f>
        <v>0.0</v>
      </c>
      <c r="D64" s="31">
        <f>SUM(AB64:AK64)</f>
        <v>0.0</v>
      </c>
      <c r="E64" s="31">
        <f>C64-D64</f>
        <v>0.0</v>
      </c>
      <c r="F64" s="31">
        <f>SUM(R64:AA64)</f>
        <v>0.0</v>
      </c>
      <c r="G64" s="34" t="str">
        <f>IF(OR(A64="",$F$5&lt;=0),"",REPT("█",ROUND(20*F64/$F$5,0)))</f>
        <v/>
      </c>
      <c r="H64" s="31">
        <f>AL64+MIN(R63+AB64-AL64,MAX(0,ROUND(Долги!$D$19-SUM($AL64:$AU64),2)))</f>
        <v>0.0</v>
      </c>
      <c r="I64" s="31">
        <f>AM64+MIN(S63+AC64-AM64,MAX(0,ROUND(ROUND(Долги!$D$19-SUM($AL64:$AU64),2)-(SUM($H64:H64)-SUM($AL64:AL64)),2)))</f>
        <v>0.0</v>
      </c>
      <c r="J64" s="31">
        <f>AN64+MIN(T63+AD64-AN64,MAX(0,ROUND(ROUND(Долги!$D$19-SUM($AL64:$AU64),2)-(SUM($H64:I64)-SUM($AL64:AM64)),2)))</f>
        <v>0.0</v>
      </c>
      <c r="K64" s="31">
        <f>AO64+MIN(U63+AE64-AO64,MAX(0,ROUND(ROUND(Долги!$D$19-SUM($AL64:$AU64),2)-(SUM($H64:J64)-SUM($AL64:AN64)),2)))</f>
        <v>0.0</v>
      </c>
      <c r="L64" s="31">
        <f>AP64+MIN(V63+AF64-AP64,MAX(0,ROUND(ROUND(Долги!$D$19-SUM($AL64:$AU64),2)-(SUM($H64:K64)-SUM($AL64:AO64)),2)))</f>
        <v>0.0</v>
      </c>
      <c r="M64" s="31">
        <f>AQ64+MIN(W63+AG64-AQ64,MAX(0,ROUND(ROUND(Долги!$D$19-SUM($AL64:$AU64),2)-(SUM($H64:L64)-SUM($AL64:AP64)),2)))</f>
        <v>0.0</v>
      </c>
      <c r="N64" s="31">
        <f>AR64+MIN(X63+AH64-AR64,MAX(0,ROUND(ROUND(Долги!$D$19-SUM($AL64:$AU64),2)-(SUM($H64:M64)-SUM($AL64:AQ64)),2)))</f>
        <v>0.0</v>
      </c>
      <c r="O64" s="31">
        <f>AS64+MIN(Y63+AI64-AS64,MAX(0,ROUND(ROUND(Долги!$D$19-SUM($AL64:$AU64),2)-(SUM($H64:N64)-SUM($AL64:AR64)),2)))</f>
        <v>0.0</v>
      </c>
      <c r="P64" s="31">
        <f>AT64+MIN(Z63+AJ64-AT64,MAX(0,ROUND(ROUND(Долги!$D$19-SUM($AL64:$AU64),2)-(SUM($H64:O64)-SUM($AL64:AS64)),2)))</f>
        <v>0.0</v>
      </c>
      <c r="Q64" s="31">
        <f>AU64+MIN(AA63+AK64-AU64,MAX(0,ROUND(ROUND(Долги!$D$19-SUM($AL64:$AU64),2)-(SUM($H64:P64)-SUM($AL64:AT64)),2)))</f>
        <v>0.0</v>
      </c>
      <c r="R64" s="31">
        <f>IF(R63+AB64-H64&lt;=0.01,0,ROUND(R63+AB64-H64,2))</f>
        <v>0.0</v>
      </c>
      <c r="S64" s="31">
        <f>IF(S63+AC64-I64&lt;=0.01,0,ROUND(S63+AC64-I64,2))</f>
        <v>0.0</v>
      </c>
      <c r="T64" s="31">
        <f>IF(T63+AD64-J64&lt;=0.01,0,ROUND(T63+AD64-J64,2))</f>
        <v>0.0</v>
      </c>
      <c r="U64" s="31">
        <f>IF(U63+AE64-K64&lt;=0.01,0,ROUND(U63+AE64-K64,2))</f>
        <v>0.0</v>
      </c>
      <c r="V64" s="31">
        <f>IF(V63+AF64-L64&lt;=0.01,0,ROUND(V63+AF64-L64,2))</f>
        <v>0.0</v>
      </c>
      <c r="W64" s="31">
        <f>IF(W63+AG64-M64&lt;=0.01,0,ROUND(W63+AG64-M64,2))</f>
        <v>0.0</v>
      </c>
      <c r="X64" s="31">
        <f>IF(X63+AH64-N64&lt;=0.01,0,ROUND(X63+AH64-N64,2))</f>
        <v>0.0</v>
      </c>
      <c r="Y64" s="31">
        <f>IF(Y63+AI64-O64&lt;=0.01,0,ROUND(Y63+AI64-O64,2))</f>
        <v>0.0</v>
      </c>
      <c r="Z64" s="31">
        <f>IF(Z63+AJ64-P64&lt;=0.01,0,ROUND(Z63+AJ64-P64,2))</f>
        <v>0.0</v>
      </c>
      <c r="AA64" s="31">
        <f>IF(AA63+AK64-Q64&lt;=0.01,0,ROUND(AA63+AK64-Q64,2))</f>
        <v>0.0</v>
      </c>
      <c r="AB64" s="31">
        <f>ROUND(R63*AB$5/1200,2)</f>
        <v>0.0</v>
      </c>
      <c r="AC64" s="31">
        <f>ROUND(S63*AC$5/1200,2)</f>
        <v>0.0</v>
      </c>
      <c r="AD64" s="31">
        <f>ROUND(T63*AD$5/1200,2)</f>
        <v>0.0</v>
      </c>
      <c r="AE64" s="31">
        <f>ROUND(U63*AE$5/1200,2)</f>
        <v>0.0</v>
      </c>
      <c r="AF64" s="31">
        <f>ROUND(V63*AF$5/1200,2)</f>
        <v>0.0</v>
      </c>
      <c r="AG64" s="31">
        <f>ROUND(W63*AG$5/1200,2)</f>
        <v>0.0</v>
      </c>
      <c r="AH64" s="31">
        <f>ROUND(X63*AH$5/1200,2)</f>
        <v>0.0</v>
      </c>
      <c r="AI64" s="31">
        <f>ROUND(Y63*AI$5/1200,2)</f>
        <v>0.0</v>
      </c>
      <c r="AJ64" s="31">
        <f>ROUND(Z63*AJ$5/1200,2)</f>
        <v>0.0</v>
      </c>
      <c r="AK64" s="31">
        <f>ROUND(AA63*AK$5/1200,2)</f>
        <v>0.0</v>
      </c>
      <c r="AL64" s="31">
        <f>MIN(AL$5,R63+AB64)</f>
        <v>0.0</v>
      </c>
      <c r="AM64" s="31">
        <f>MIN(AM$5,S63+AC64)</f>
        <v>0.0</v>
      </c>
      <c r="AN64" s="31">
        <f>MIN(AN$5,T63+AD64)</f>
        <v>0.0</v>
      </c>
      <c r="AO64" s="31">
        <f>MIN(AO$5,U63+AE64)</f>
        <v>0.0</v>
      </c>
      <c r="AP64" s="31">
        <f>MIN(AP$5,V63+AF64)</f>
        <v>0.0</v>
      </c>
      <c r="AQ64" s="31">
        <f>MIN(AQ$5,W63+AG64)</f>
        <v>0.0</v>
      </c>
      <c r="AR64" s="31">
        <f>MIN(AR$5,X63+AH64)</f>
        <v>0.0</v>
      </c>
      <c r="AS64" s="31">
        <f>MIN(AS$5,Y63+AI64)</f>
        <v>0.0</v>
      </c>
      <c r="AT64" s="31">
        <f>MIN(AT$5,Z63+AJ64)</f>
        <v>0.0</v>
      </c>
      <c r="AU64" s="31">
        <f>MIN(AU$5,AA63+AK64)</f>
        <v>0.0</v>
      </c>
    </row>
    <row r="65">
      <c r="A65" s="25" t="str">
        <f>IF(F64&gt;0.005,60,"")</f>
        <v/>
      </c>
      <c r="B65" s="33" t="str">
        <f>IF(A65="","",EDATE(Долги!$D$5,59))</f>
        <v/>
      </c>
      <c r="C65" s="31">
        <f>SUM(H65:Q65)</f>
        <v>0.0</v>
      </c>
      <c r="D65" s="31">
        <f>SUM(AB65:AK65)</f>
        <v>0.0</v>
      </c>
      <c r="E65" s="31">
        <f>C65-D65</f>
        <v>0.0</v>
      </c>
      <c r="F65" s="31">
        <f>SUM(R65:AA65)</f>
        <v>0.0</v>
      </c>
      <c r="G65" s="34" t="str">
        <f>IF(OR(A65="",$F$5&lt;=0),"",REPT("█",ROUND(20*F65/$F$5,0)))</f>
        <v/>
      </c>
      <c r="H65" s="31">
        <f>AL65+MIN(R64+AB65-AL65,MAX(0,ROUND(Долги!$D$19-SUM($AL65:$AU65),2)))</f>
        <v>0.0</v>
      </c>
      <c r="I65" s="31">
        <f>AM65+MIN(S64+AC65-AM65,MAX(0,ROUND(ROUND(Долги!$D$19-SUM($AL65:$AU65),2)-(SUM($H65:H65)-SUM($AL65:AL65)),2)))</f>
        <v>0.0</v>
      </c>
      <c r="J65" s="31">
        <f>AN65+MIN(T64+AD65-AN65,MAX(0,ROUND(ROUND(Долги!$D$19-SUM($AL65:$AU65),2)-(SUM($H65:I65)-SUM($AL65:AM65)),2)))</f>
        <v>0.0</v>
      </c>
      <c r="K65" s="31">
        <f>AO65+MIN(U64+AE65-AO65,MAX(0,ROUND(ROUND(Долги!$D$19-SUM($AL65:$AU65),2)-(SUM($H65:J65)-SUM($AL65:AN65)),2)))</f>
        <v>0.0</v>
      </c>
      <c r="L65" s="31">
        <f>AP65+MIN(V64+AF65-AP65,MAX(0,ROUND(ROUND(Долги!$D$19-SUM($AL65:$AU65),2)-(SUM($H65:K65)-SUM($AL65:AO65)),2)))</f>
        <v>0.0</v>
      </c>
      <c r="M65" s="31">
        <f>AQ65+MIN(W64+AG65-AQ65,MAX(0,ROUND(ROUND(Долги!$D$19-SUM($AL65:$AU65),2)-(SUM($H65:L65)-SUM($AL65:AP65)),2)))</f>
        <v>0.0</v>
      </c>
      <c r="N65" s="31">
        <f>AR65+MIN(X64+AH65-AR65,MAX(0,ROUND(ROUND(Долги!$D$19-SUM($AL65:$AU65),2)-(SUM($H65:M65)-SUM($AL65:AQ65)),2)))</f>
        <v>0.0</v>
      </c>
      <c r="O65" s="31">
        <f>AS65+MIN(Y64+AI65-AS65,MAX(0,ROUND(ROUND(Долги!$D$19-SUM($AL65:$AU65),2)-(SUM($H65:N65)-SUM($AL65:AR65)),2)))</f>
        <v>0.0</v>
      </c>
      <c r="P65" s="31">
        <f>AT65+MIN(Z64+AJ65-AT65,MAX(0,ROUND(ROUND(Долги!$D$19-SUM($AL65:$AU65),2)-(SUM($H65:O65)-SUM($AL65:AS65)),2)))</f>
        <v>0.0</v>
      </c>
      <c r="Q65" s="31">
        <f>AU65+MIN(AA64+AK65-AU65,MAX(0,ROUND(ROUND(Долги!$D$19-SUM($AL65:$AU65),2)-(SUM($H65:P65)-SUM($AL65:AT65)),2)))</f>
        <v>0.0</v>
      </c>
      <c r="R65" s="31">
        <f>IF(R64+AB65-H65&lt;=0.01,0,ROUND(R64+AB65-H65,2))</f>
        <v>0.0</v>
      </c>
      <c r="S65" s="31">
        <f>IF(S64+AC65-I65&lt;=0.01,0,ROUND(S64+AC65-I65,2))</f>
        <v>0.0</v>
      </c>
      <c r="T65" s="31">
        <f>IF(T64+AD65-J65&lt;=0.01,0,ROUND(T64+AD65-J65,2))</f>
        <v>0.0</v>
      </c>
      <c r="U65" s="31">
        <f>IF(U64+AE65-K65&lt;=0.01,0,ROUND(U64+AE65-K65,2))</f>
        <v>0.0</v>
      </c>
      <c r="V65" s="31">
        <f>IF(V64+AF65-L65&lt;=0.01,0,ROUND(V64+AF65-L65,2))</f>
        <v>0.0</v>
      </c>
      <c r="W65" s="31">
        <f>IF(W64+AG65-M65&lt;=0.01,0,ROUND(W64+AG65-M65,2))</f>
        <v>0.0</v>
      </c>
      <c r="X65" s="31">
        <f>IF(X64+AH65-N65&lt;=0.01,0,ROUND(X64+AH65-N65,2))</f>
        <v>0.0</v>
      </c>
      <c r="Y65" s="31">
        <f>IF(Y64+AI65-O65&lt;=0.01,0,ROUND(Y64+AI65-O65,2))</f>
        <v>0.0</v>
      </c>
      <c r="Z65" s="31">
        <f>IF(Z64+AJ65-P65&lt;=0.01,0,ROUND(Z64+AJ65-P65,2))</f>
        <v>0.0</v>
      </c>
      <c r="AA65" s="31">
        <f>IF(AA64+AK65-Q65&lt;=0.01,0,ROUND(AA64+AK65-Q65,2))</f>
        <v>0.0</v>
      </c>
      <c r="AB65" s="31">
        <f>ROUND(R64*AB$5/1200,2)</f>
        <v>0.0</v>
      </c>
      <c r="AC65" s="31">
        <f>ROUND(S64*AC$5/1200,2)</f>
        <v>0.0</v>
      </c>
      <c r="AD65" s="31">
        <f>ROUND(T64*AD$5/1200,2)</f>
        <v>0.0</v>
      </c>
      <c r="AE65" s="31">
        <f>ROUND(U64*AE$5/1200,2)</f>
        <v>0.0</v>
      </c>
      <c r="AF65" s="31">
        <f>ROUND(V64*AF$5/1200,2)</f>
        <v>0.0</v>
      </c>
      <c r="AG65" s="31">
        <f>ROUND(W64*AG$5/1200,2)</f>
        <v>0.0</v>
      </c>
      <c r="AH65" s="31">
        <f>ROUND(X64*AH$5/1200,2)</f>
        <v>0.0</v>
      </c>
      <c r="AI65" s="31">
        <f>ROUND(Y64*AI$5/1200,2)</f>
        <v>0.0</v>
      </c>
      <c r="AJ65" s="31">
        <f>ROUND(Z64*AJ$5/1200,2)</f>
        <v>0.0</v>
      </c>
      <c r="AK65" s="31">
        <f>ROUND(AA64*AK$5/1200,2)</f>
        <v>0.0</v>
      </c>
      <c r="AL65" s="31">
        <f>MIN(AL$5,R64+AB65)</f>
        <v>0.0</v>
      </c>
      <c r="AM65" s="31">
        <f>MIN(AM$5,S64+AC65)</f>
        <v>0.0</v>
      </c>
      <c r="AN65" s="31">
        <f>MIN(AN$5,T64+AD65)</f>
        <v>0.0</v>
      </c>
      <c r="AO65" s="31">
        <f>MIN(AO$5,U64+AE65)</f>
        <v>0.0</v>
      </c>
      <c r="AP65" s="31">
        <f>MIN(AP$5,V64+AF65)</f>
        <v>0.0</v>
      </c>
      <c r="AQ65" s="31">
        <f>MIN(AQ$5,W64+AG65)</f>
        <v>0.0</v>
      </c>
      <c r="AR65" s="31">
        <f>MIN(AR$5,X64+AH65)</f>
        <v>0.0</v>
      </c>
      <c r="AS65" s="31">
        <f>MIN(AS$5,Y64+AI65)</f>
        <v>0.0</v>
      </c>
      <c r="AT65" s="31">
        <f>MIN(AT$5,Z64+AJ65)</f>
        <v>0.0</v>
      </c>
      <c r="AU65" s="31">
        <f>MIN(AU$5,AA64+AK65)</f>
        <v>0.0</v>
      </c>
    </row>
    <row r="66">
      <c r="A66" s="25" t="str">
        <f>IF(F65&gt;0.005,61,"")</f>
        <v/>
      </c>
      <c r="B66" s="33" t="str">
        <f>IF(A66="","",EDATE(Долги!$D$5,60))</f>
        <v/>
      </c>
      <c r="C66" s="31">
        <f>SUM(H66:Q66)</f>
        <v>0.0</v>
      </c>
      <c r="D66" s="31">
        <f>SUM(AB66:AK66)</f>
        <v>0.0</v>
      </c>
      <c r="E66" s="31">
        <f>C66-D66</f>
        <v>0.0</v>
      </c>
      <c r="F66" s="31">
        <f>SUM(R66:AA66)</f>
        <v>0.0</v>
      </c>
      <c r="G66" s="34" t="str">
        <f>IF(OR(A66="",$F$5&lt;=0),"",REPT("█",ROUND(20*F66/$F$5,0)))</f>
        <v/>
      </c>
      <c r="H66" s="31">
        <f>AL66+MIN(R65+AB66-AL66,MAX(0,ROUND(Долги!$D$19-SUM($AL66:$AU66),2)))</f>
        <v>0.0</v>
      </c>
      <c r="I66" s="31">
        <f>AM66+MIN(S65+AC66-AM66,MAX(0,ROUND(ROUND(Долги!$D$19-SUM($AL66:$AU66),2)-(SUM($H66:H66)-SUM($AL66:AL66)),2)))</f>
        <v>0.0</v>
      </c>
      <c r="J66" s="31">
        <f>AN66+MIN(T65+AD66-AN66,MAX(0,ROUND(ROUND(Долги!$D$19-SUM($AL66:$AU66),2)-(SUM($H66:I66)-SUM($AL66:AM66)),2)))</f>
        <v>0.0</v>
      </c>
      <c r="K66" s="31">
        <f>AO66+MIN(U65+AE66-AO66,MAX(0,ROUND(ROUND(Долги!$D$19-SUM($AL66:$AU66),2)-(SUM($H66:J66)-SUM($AL66:AN66)),2)))</f>
        <v>0.0</v>
      </c>
      <c r="L66" s="31">
        <f>AP66+MIN(V65+AF66-AP66,MAX(0,ROUND(ROUND(Долги!$D$19-SUM($AL66:$AU66),2)-(SUM($H66:K66)-SUM($AL66:AO66)),2)))</f>
        <v>0.0</v>
      </c>
      <c r="M66" s="31">
        <f>AQ66+MIN(W65+AG66-AQ66,MAX(0,ROUND(ROUND(Долги!$D$19-SUM($AL66:$AU66),2)-(SUM($H66:L66)-SUM($AL66:AP66)),2)))</f>
        <v>0.0</v>
      </c>
      <c r="N66" s="31">
        <f>AR66+MIN(X65+AH66-AR66,MAX(0,ROUND(ROUND(Долги!$D$19-SUM($AL66:$AU66),2)-(SUM($H66:M66)-SUM($AL66:AQ66)),2)))</f>
        <v>0.0</v>
      </c>
      <c r="O66" s="31">
        <f>AS66+MIN(Y65+AI66-AS66,MAX(0,ROUND(ROUND(Долги!$D$19-SUM($AL66:$AU66),2)-(SUM($H66:N66)-SUM($AL66:AR66)),2)))</f>
        <v>0.0</v>
      </c>
      <c r="P66" s="31">
        <f>AT66+MIN(Z65+AJ66-AT66,MAX(0,ROUND(ROUND(Долги!$D$19-SUM($AL66:$AU66),2)-(SUM($H66:O66)-SUM($AL66:AS66)),2)))</f>
        <v>0.0</v>
      </c>
      <c r="Q66" s="31">
        <f>AU66+MIN(AA65+AK66-AU66,MAX(0,ROUND(ROUND(Долги!$D$19-SUM($AL66:$AU66),2)-(SUM($H66:P66)-SUM($AL66:AT66)),2)))</f>
        <v>0.0</v>
      </c>
      <c r="R66" s="31">
        <f>IF(R65+AB66-H66&lt;=0.01,0,ROUND(R65+AB66-H66,2))</f>
        <v>0.0</v>
      </c>
      <c r="S66" s="31">
        <f>IF(S65+AC66-I66&lt;=0.01,0,ROUND(S65+AC66-I66,2))</f>
        <v>0.0</v>
      </c>
      <c r="T66" s="31">
        <f>IF(T65+AD66-J66&lt;=0.01,0,ROUND(T65+AD66-J66,2))</f>
        <v>0.0</v>
      </c>
      <c r="U66" s="31">
        <f>IF(U65+AE66-K66&lt;=0.01,0,ROUND(U65+AE66-K66,2))</f>
        <v>0.0</v>
      </c>
      <c r="V66" s="31">
        <f>IF(V65+AF66-L66&lt;=0.01,0,ROUND(V65+AF66-L66,2))</f>
        <v>0.0</v>
      </c>
      <c r="W66" s="31">
        <f>IF(W65+AG66-M66&lt;=0.01,0,ROUND(W65+AG66-M66,2))</f>
        <v>0.0</v>
      </c>
      <c r="X66" s="31">
        <f>IF(X65+AH66-N66&lt;=0.01,0,ROUND(X65+AH66-N66,2))</f>
        <v>0.0</v>
      </c>
      <c r="Y66" s="31">
        <f>IF(Y65+AI66-O66&lt;=0.01,0,ROUND(Y65+AI66-O66,2))</f>
        <v>0.0</v>
      </c>
      <c r="Z66" s="31">
        <f>IF(Z65+AJ66-P66&lt;=0.01,0,ROUND(Z65+AJ66-P66,2))</f>
        <v>0.0</v>
      </c>
      <c r="AA66" s="31">
        <f>IF(AA65+AK66-Q66&lt;=0.01,0,ROUND(AA65+AK66-Q66,2))</f>
        <v>0.0</v>
      </c>
      <c r="AB66" s="31">
        <f>ROUND(R65*AB$5/1200,2)</f>
        <v>0.0</v>
      </c>
      <c r="AC66" s="31">
        <f>ROUND(S65*AC$5/1200,2)</f>
        <v>0.0</v>
      </c>
      <c r="AD66" s="31">
        <f>ROUND(T65*AD$5/1200,2)</f>
        <v>0.0</v>
      </c>
      <c r="AE66" s="31">
        <f>ROUND(U65*AE$5/1200,2)</f>
        <v>0.0</v>
      </c>
      <c r="AF66" s="31">
        <f>ROUND(V65*AF$5/1200,2)</f>
        <v>0.0</v>
      </c>
      <c r="AG66" s="31">
        <f>ROUND(W65*AG$5/1200,2)</f>
        <v>0.0</v>
      </c>
      <c r="AH66" s="31">
        <f>ROUND(X65*AH$5/1200,2)</f>
        <v>0.0</v>
      </c>
      <c r="AI66" s="31">
        <f>ROUND(Y65*AI$5/1200,2)</f>
        <v>0.0</v>
      </c>
      <c r="AJ66" s="31">
        <f>ROUND(Z65*AJ$5/1200,2)</f>
        <v>0.0</v>
      </c>
      <c r="AK66" s="31">
        <f>ROUND(AA65*AK$5/1200,2)</f>
        <v>0.0</v>
      </c>
      <c r="AL66" s="31">
        <f>MIN(AL$5,R65+AB66)</f>
        <v>0.0</v>
      </c>
      <c r="AM66" s="31">
        <f>MIN(AM$5,S65+AC66)</f>
        <v>0.0</v>
      </c>
      <c r="AN66" s="31">
        <f>MIN(AN$5,T65+AD66)</f>
        <v>0.0</v>
      </c>
      <c r="AO66" s="31">
        <f>MIN(AO$5,U65+AE66)</f>
        <v>0.0</v>
      </c>
      <c r="AP66" s="31">
        <f>MIN(AP$5,V65+AF66)</f>
        <v>0.0</v>
      </c>
      <c r="AQ66" s="31">
        <f>MIN(AQ$5,W65+AG66)</f>
        <v>0.0</v>
      </c>
      <c r="AR66" s="31">
        <f>MIN(AR$5,X65+AH66)</f>
        <v>0.0</v>
      </c>
      <c r="AS66" s="31">
        <f>MIN(AS$5,Y65+AI66)</f>
        <v>0.0</v>
      </c>
      <c r="AT66" s="31">
        <f>MIN(AT$5,Z65+AJ66)</f>
        <v>0.0</v>
      </c>
      <c r="AU66" s="31">
        <f>MIN(AU$5,AA65+AK66)</f>
        <v>0.0</v>
      </c>
    </row>
    <row r="67">
      <c r="A67" s="25" t="str">
        <f>IF(F66&gt;0.005,62,"")</f>
        <v/>
      </c>
      <c r="B67" s="33" t="str">
        <f>IF(A67="","",EDATE(Долги!$D$5,61))</f>
        <v/>
      </c>
      <c r="C67" s="31">
        <f>SUM(H67:Q67)</f>
        <v>0.0</v>
      </c>
      <c r="D67" s="31">
        <f>SUM(AB67:AK67)</f>
        <v>0.0</v>
      </c>
      <c r="E67" s="31">
        <f>C67-D67</f>
        <v>0.0</v>
      </c>
      <c r="F67" s="31">
        <f>SUM(R67:AA67)</f>
        <v>0.0</v>
      </c>
      <c r="G67" s="34" t="str">
        <f>IF(OR(A67="",$F$5&lt;=0),"",REPT("█",ROUND(20*F67/$F$5,0)))</f>
        <v/>
      </c>
      <c r="H67" s="31">
        <f>AL67+MIN(R66+AB67-AL67,MAX(0,ROUND(Долги!$D$19-SUM($AL67:$AU67),2)))</f>
        <v>0.0</v>
      </c>
      <c r="I67" s="31">
        <f>AM67+MIN(S66+AC67-AM67,MAX(0,ROUND(ROUND(Долги!$D$19-SUM($AL67:$AU67),2)-(SUM($H67:H67)-SUM($AL67:AL67)),2)))</f>
        <v>0.0</v>
      </c>
      <c r="J67" s="31">
        <f>AN67+MIN(T66+AD67-AN67,MAX(0,ROUND(ROUND(Долги!$D$19-SUM($AL67:$AU67),2)-(SUM($H67:I67)-SUM($AL67:AM67)),2)))</f>
        <v>0.0</v>
      </c>
      <c r="K67" s="31">
        <f>AO67+MIN(U66+AE67-AO67,MAX(0,ROUND(ROUND(Долги!$D$19-SUM($AL67:$AU67),2)-(SUM($H67:J67)-SUM($AL67:AN67)),2)))</f>
        <v>0.0</v>
      </c>
      <c r="L67" s="31">
        <f>AP67+MIN(V66+AF67-AP67,MAX(0,ROUND(ROUND(Долги!$D$19-SUM($AL67:$AU67),2)-(SUM($H67:K67)-SUM($AL67:AO67)),2)))</f>
        <v>0.0</v>
      </c>
      <c r="M67" s="31">
        <f>AQ67+MIN(W66+AG67-AQ67,MAX(0,ROUND(ROUND(Долги!$D$19-SUM($AL67:$AU67),2)-(SUM($H67:L67)-SUM($AL67:AP67)),2)))</f>
        <v>0.0</v>
      </c>
      <c r="N67" s="31">
        <f>AR67+MIN(X66+AH67-AR67,MAX(0,ROUND(ROUND(Долги!$D$19-SUM($AL67:$AU67),2)-(SUM($H67:M67)-SUM($AL67:AQ67)),2)))</f>
        <v>0.0</v>
      </c>
      <c r="O67" s="31">
        <f>AS67+MIN(Y66+AI67-AS67,MAX(0,ROUND(ROUND(Долги!$D$19-SUM($AL67:$AU67),2)-(SUM($H67:N67)-SUM($AL67:AR67)),2)))</f>
        <v>0.0</v>
      </c>
      <c r="P67" s="31">
        <f>AT67+MIN(Z66+AJ67-AT67,MAX(0,ROUND(ROUND(Долги!$D$19-SUM($AL67:$AU67),2)-(SUM($H67:O67)-SUM($AL67:AS67)),2)))</f>
        <v>0.0</v>
      </c>
      <c r="Q67" s="31">
        <f>AU67+MIN(AA66+AK67-AU67,MAX(0,ROUND(ROUND(Долги!$D$19-SUM($AL67:$AU67),2)-(SUM($H67:P67)-SUM($AL67:AT67)),2)))</f>
        <v>0.0</v>
      </c>
      <c r="R67" s="31">
        <f>IF(R66+AB67-H67&lt;=0.01,0,ROUND(R66+AB67-H67,2))</f>
        <v>0.0</v>
      </c>
      <c r="S67" s="31">
        <f>IF(S66+AC67-I67&lt;=0.01,0,ROUND(S66+AC67-I67,2))</f>
        <v>0.0</v>
      </c>
      <c r="T67" s="31">
        <f>IF(T66+AD67-J67&lt;=0.01,0,ROUND(T66+AD67-J67,2))</f>
        <v>0.0</v>
      </c>
      <c r="U67" s="31">
        <f>IF(U66+AE67-K67&lt;=0.01,0,ROUND(U66+AE67-K67,2))</f>
        <v>0.0</v>
      </c>
      <c r="V67" s="31">
        <f>IF(V66+AF67-L67&lt;=0.01,0,ROUND(V66+AF67-L67,2))</f>
        <v>0.0</v>
      </c>
      <c r="W67" s="31">
        <f>IF(W66+AG67-M67&lt;=0.01,0,ROUND(W66+AG67-M67,2))</f>
        <v>0.0</v>
      </c>
      <c r="X67" s="31">
        <f>IF(X66+AH67-N67&lt;=0.01,0,ROUND(X66+AH67-N67,2))</f>
        <v>0.0</v>
      </c>
      <c r="Y67" s="31">
        <f>IF(Y66+AI67-O67&lt;=0.01,0,ROUND(Y66+AI67-O67,2))</f>
        <v>0.0</v>
      </c>
      <c r="Z67" s="31">
        <f>IF(Z66+AJ67-P67&lt;=0.01,0,ROUND(Z66+AJ67-P67,2))</f>
        <v>0.0</v>
      </c>
      <c r="AA67" s="31">
        <f>IF(AA66+AK67-Q67&lt;=0.01,0,ROUND(AA66+AK67-Q67,2))</f>
        <v>0.0</v>
      </c>
      <c r="AB67" s="31">
        <f>ROUND(R66*AB$5/1200,2)</f>
        <v>0.0</v>
      </c>
      <c r="AC67" s="31">
        <f>ROUND(S66*AC$5/1200,2)</f>
        <v>0.0</v>
      </c>
      <c r="AD67" s="31">
        <f>ROUND(T66*AD$5/1200,2)</f>
        <v>0.0</v>
      </c>
      <c r="AE67" s="31">
        <f>ROUND(U66*AE$5/1200,2)</f>
        <v>0.0</v>
      </c>
      <c r="AF67" s="31">
        <f>ROUND(V66*AF$5/1200,2)</f>
        <v>0.0</v>
      </c>
      <c r="AG67" s="31">
        <f>ROUND(W66*AG$5/1200,2)</f>
        <v>0.0</v>
      </c>
      <c r="AH67" s="31">
        <f>ROUND(X66*AH$5/1200,2)</f>
        <v>0.0</v>
      </c>
      <c r="AI67" s="31">
        <f>ROUND(Y66*AI$5/1200,2)</f>
        <v>0.0</v>
      </c>
      <c r="AJ67" s="31">
        <f>ROUND(Z66*AJ$5/1200,2)</f>
        <v>0.0</v>
      </c>
      <c r="AK67" s="31">
        <f>ROUND(AA66*AK$5/1200,2)</f>
        <v>0.0</v>
      </c>
      <c r="AL67" s="31">
        <f>MIN(AL$5,R66+AB67)</f>
        <v>0.0</v>
      </c>
      <c r="AM67" s="31">
        <f>MIN(AM$5,S66+AC67)</f>
        <v>0.0</v>
      </c>
      <c r="AN67" s="31">
        <f>MIN(AN$5,T66+AD67)</f>
        <v>0.0</v>
      </c>
      <c r="AO67" s="31">
        <f>MIN(AO$5,U66+AE67)</f>
        <v>0.0</v>
      </c>
      <c r="AP67" s="31">
        <f>MIN(AP$5,V66+AF67)</f>
        <v>0.0</v>
      </c>
      <c r="AQ67" s="31">
        <f>MIN(AQ$5,W66+AG67)</f>
        <v>0.0</v>
      </c>
      <c r="AR67" s="31">
        <f>MIN(AR$5,X66+AH67)</f>
        <v>0.0</v>
      </c>
      <c r="AS67" s="31">
        <f>MIN(AS$5,Y66+AI67)</f>
        <v>0.0</v>
      </c>
      <c r="AT67" s="31">
        <f>MIN(AT$5,Z66+AJ67)</f>
        <v>0.0</v>
      </c>
      <c r="AU67" s="31">
        <f>MIN(AU$5,AA66+AK67)</f>
        <v>0.0</v>
      </c>
    </row>
    <row r="68">
      <c r="A68" s="25" t="str">
        <f>IF(F67&gt;0.005,63,"")</f>
        <v/>
      </c>
      <c r="B68" s="33" t="str">
        <f>IF(A68="","",EDATE(Долги!$D$5,62))</f>
        <v/>
      </c>
      <c r="C68" s="31">
        <f>SUM(H68:Q68)</f>
        <v>0.0</v>
      </c>
      <c r="D68" s="31">
        <f>SUM(AB68:AK68)</f>
        <v>0.0</v>
      </c>
      <c r="E68" s="31">
        <f>C68-D68</f>
        <v>0.0</v>
      </c>
      <c r="F68" s="31">
        <f>SUM(R68:AA68)</f>
        <v>0.0</v>
      </c>
      <c r="G68" s="34" t="str">
        <f>IF(OR(A68="",$F$5&lt;=0),"",REPT("█",ROUND(20*F68/$F$5,0)))</f>
        <v/>
      </c>
      <c r="H68" s="31">
        <f>AL68+MIN(R67+AB68-AL68,MAX(0,ROUND(Долги!$D$19-SUM($AL68:$AU68),2)))</f>
        <v>0.0</v>
      </c>
      <c r="I68" s="31">
        <f>AM68+MIN(S67+AC68-AM68,MAX(0,ROUND(ROUND(Долги!$D$19-SUM($AL68:$AU68),2)-(SUM($H68:H68)-SUM($AL68:AL68)),2)))</f>
        <v>0.0</v>
      </c>
      <c r="J68" s="31">
        <f>AN68+MIN(T67+AD68-AN68,MAX(0,ROUND(ROUND(Долги!$D$19-SUM($AL68:$AU68),2)-(SUM($H68:I68)-SUM($AL68:AM68)),2)))</f>
        <v>0.0</v>
      </c>
      <c r="K68" s="31">
        <f>AO68+MIN(U67+AE68-AO68,MAX(0,ROUND(ROUND(Долги!$D$19-SUM($AL68:$AU68),2)-(SUM($H68:J68)-SUM($AL68:AN68)),2)))</f>
        <v>0.0</v>
      </c>
      <c r="L68" s="31">
        <f>AP68+MIN(V67+AF68-AP68,MAX(0,ROUND(ROUND(Долги!$D$19-SUM($AL68:$AU68),2)-(SUM($H68:K68)-SUM($AL68:AO68)),2)))</f>
        <v>0.0</v>
      </c>
      <c r="M68" s="31">
        <f>AQ68+MIN(W67+AG68-AQ68,MAX(0,ROUND(ROUND(Долги!$D$19-SUM($AL68:$AU68),2)-(SUM($H68:L68)-SUM($AL68:AP68)),2)))</f>
        <v>0.0</v>
      </c>
      <c r="N68" s="31">
        <f>AR68+MIN(X67+AH68-AR68,MAX(0,ROUND(ROUND(Долги!$D$19-SUM($AL68:$AU68),2)-(SUM($H68:M68)-SUM($AL68:AQ68)),2)))</f>
        <v>0.0</v>
      </c>
      <c r="O68" s="31">
        <f>AS68+MIN(Y67+AI68-AS68,MAX(0,ROUND(ROUND(Долги!$D$19-SUM($AL68:$AU68),2)-(SUM($H68:N68)-SUM($AL68:AR68)),2)))</f>
        <v>0.0</v>
      </c>
      <c r="P68" s="31">
        <f>AT68+MIN(Z67+AJ68-AT68,MAX(0,ROUND(ROUND(Долги!$D$19-SUM($AL68:$AU68),2)-(SUM($H68:O68)-SUM($AL68:AS68)),2)))</f>
        <v>0.0</v>
      </c>
      <c r="Q68" s="31">
        <f>AU68+MIN(AA67+AK68-AU68,MAX(0,ROUND(ROUND(Долги!$D$19-SUM($AL68:$AU68),2)-(SUM($H68:P68)-SUM($AL68:AT68)),2)))</f>
        <v>0.0</v>
      </c>
      <c r="R68" s="31">
        <f>IF(R67+AB68-H68&lt;=0.01,0,ROUND(R67+AB68-H68,2))</f>
        <v>0.0</v>
      </c>
      <c r="S68" s="31">
        <f>IF(S67+AC68-I68&lt;=0.01,0,ROUND(S67+AC68-I68,2))</f>
        <v>0.0</v>
      </c>
      <c r="T68" s="31">
        <f>IF(T67+AD68-J68&lt;=0.01,0,ROUND(T67+AD68-J68,2))</f>
        <v>0.0</v>
      </c>
      <c r="U68" s="31">
        <f>IF(U67+AE68-K68&lt;=0.01,0,ROUND(U67+AE68-K68,2))</f>
        <v>0.0</v>
      </c>
      <c r="V68" s="31">
        <f>IF(V67+AF68-L68&lt;=0.01,0,ROUND(V67+AF68-L68,2))</f>
        <v>0.0</v>
      </c>
      <c r="W68" s="31">
        <f>IF(W67+AG68-M68&lt;=0.01,0,ROUND(W67+AG68-M68,2))</f>
        <v>0.0</v>
      </c>
      <c r="X68" s="31">
        <f>IF(X67+AH68-N68&lt;=0.01,0,ROUND(X67+AH68-N68,2))</f>
        <v>0.0</v>
      </c>
      <c r="Y68" s="31">
        <f>IF(Y67+AI68-O68&lt;=0.01,0,ROUND(Y67+AI68-O68,2))</f>
        <v>0.0</v>
      </c>
      <c r="Z68" s="31">
        <f>IF(Z67+AJ68-P68&lt;=0.01,0,ROUND(Z67+AJ68-P68,2))</f>
        <v>0.0</v>
      </c>
      <c r="AA68" s="31">
        <f>IF(AA67+AK68-Q68&lt;=0.01,0,ROUND(AA67+AK68-Q68,2))</f>
        <v>0.0</v>
      </c>
      <c r="AB68" s="31">
        <f>ROUND(R67*AB$5/1200,2)</f>
        <v>0.0</v>
      </c>
      <c r="AC68" s="31">
        <f>ROUND(S67*AC$5/1200,2)</f>
        <v>0.0</v>
      </c>
      <c r="AD68" s="31">
        <f>ROUND(T67*AD$5/1200,2)</f>
        <v>0.0</v>
      </c>
      <c r="AE68" s="31">
        <f>ROUND(U67*AE$5/1200,2)</f>
        <v>0.0</v>
      </c>
      <c r="AF68" s="31">
        <f>ROUND(V67*AF$5/1200,2)</f>
        <v>0.0</v>
      </c>
      <c r="AG68" s="31">
        <f>ROUND(W67*AG$5/1200,2)</f>
        <v>0.0</v>
      </c>
      <c r="AH68" s="31">
        <f>ROUND(X67*AH$5/1200,2)</f>
        <v>0.0</v>
      </c>
      <c r="AI68" s="31">
        <f>ROUND(Y67*AI$5/1200,2)</f>
        <v>0.0</v>
      </c>
      <c r="AJ68" s="31">
        <f>ROUND(Z67*AJ$5/1200,2)</f>
        <v>0.0</v>
      </c>
      <c r="AK68" s="31">
        <f>ROUND(AA67*AK$5/1200,2)</f>
        <v>0.0</v>
      </c>
      <c r="AL68" s="31">
        <f>MIN(AL$5,R67+AB68)</f>
        <v>0.0</v>
      </c>
      <c r="AM68" s="31">
        <f>MIN(AM$5,S67+AC68)</f>
        <v>0.0</v>
      </c>
      <c r="AN68" s="31">
        <f>MIN(AN$5,T67+AD68)</f>
        <v>0.0</v>
      </c>
      <c r="AO68" s="31">
        <f>MIN(AO$5,U67+AE68)</f>
        <v>0.0</v>
      </c>
      <c r="AP68" s="31">
        <f>MIN(AP$5,V67+AF68)</f>
        <v>0.0</v>
      </c>
      <c r="AQ68" s="31">
        <f>MIN(AQ$5,W67+AG68)</f>
        <v>0.0</v>
      </c>
      <c r="AR68" s="31">
        <f>MIN(AR$5,X67+AH68)</f>
        <v>0.0</v>
      </c>
      <c r="AS68" s="31">
        <f>MIN(AS$5,Y67+AI68)</f>
        <v>0.0</v>
      </c>
      <c r="AT68" s="31">
        <f>MIN(AT$5,Z67+AJ68)</f>
        <v>0.0</v>
      </c>
      <c r="AU68" s="31">
        <f>MIN(AU$5,AA67+AK68)</f>
        <v>0.0</v>
      </c>
    </row>
    <row r="69">
      <c r="A69" s="25" t="str">
        <f>IF(F68&gt;0.005,64,"")</f>
        <v/>
      </c>
      <c r="B69" s="33" t="str">
        <f>IF(A69="","",EDATE(Долги!$D$5,63))</f>
        <v/>
      </c>
      <c r="C69" s="31">
        <f>SUM(H69:Q69)</f>
        <v>0.0</v>
      </c>
      <c r="D69" s="31">
        <f>SUM(AB69:AK69)</f>
        <v>0.0</v>
      </c>
      <c r="E69" s="31">
        <f>C69-D69</f>
        <v>0.0</v>
      </c>
      <c r="F69" s="31">
        <f>SUM(R69:AA69)</f>
        <v>0.0</v>
      </c>
      <c r="G69" s="34" t="str">
        <f>IF(OR(A69="",$F$5&lt;=0),"",REPT("█",ROUND(20*F69/$F$5,0)))</f>
        <v/>
      </c>
      <c r="H69" s="31">
        <f>AL69+MIN(R68+AB69-AL69,MAX(0,ROUND(Долги!$D$19-SUM($AL69:$AU69),2)))</f>
        <v>0.0</v>
      </c>
      <c r="I69" s="31">
        <f>AM69+MIN(S68+AC69-AM69,MAX(0,ROUND(ROUND(Долги!$D$19-SUM($AL69:$AU69),2)-(SUM($H69:H69)-SUM($AL69:AL69)),2)))</f>
        <v>0.0</v>
      </c>
      <c r="J69" s="31">
        <f>AN69+MIN(T68+AD69-AN69,MAX(0,ROUND(ROUND(Долги!$D$19-SUM($AL69:$AU69),2)-(SUM($H69:I69)-SUM($AL69:AM69)),2)))</f>
        <v>0.0</v>
      </c>
      <c r="K69" s="31">
        <f>AO69+MIN(U68+AE69-AO69,MAX(0,ROUND(ROUND(Долги!$D$19-SUM($AL69:$AU69),2)-(SUM($H69:J69)-SUM($AL69:AN69)),2)))</f>
        <v>0.0</v>
      </c>
      <c r="L69" s="31">
        <f>AP69+MIN(V68+AF69-AP69,MAX(0,ROUND(ROUND(Долги!$D$19-SUM($AL69:$AU69),2)-(SUM($H69:K69)-SUM($AL69:AO69)),2)))</f>
        <v>0.0</v>
      </c>
      <c r="M69" s="31">
        <f>AQ69+MIN(W68+AG69-AQ69,MAX(0,ROUND(ROUND(Долги!$D$19-SUM($AL69:$AU69),2)-(SUM($H69:L69)-SUM($AL69:AP69)),2)))</f>
        <v>0.0</v>
      </c>
      <c r="N69" s="31">
        <f>AR69+MIN(X68+AH69-AR69,MAX(0,ROUND(ROUND(Долги!$D$19-SUM($AL69:$AU69),2)-(SUM($H69:M69)-SUM($AL69:AQ69)),2)))</f>
        <v>0.0</v>
      </c>
      <c r="O69" s="31">
        <f>AS69+MIN(Y68+AI69-AS69,MAX(0,ROUND(ROUND(Долги!$D$19-SUM($AL69:$AU69),2)-(SUM($H69:N69)-SUM($AL69:AR69)),2)))</f>
        <v>0.0</v>
      </c>
      <c r="P69" s="31">
        <f>AT69+MIN(Z68+AJ69-AT69,MAX(0,ROUND(ROUND(Долги!$D$19-SUM($AL69:$AU69),2)-(SUM($H69:O69)-SUM($AL69:AS69)),2)))</f>
        <v>0.0</v>
      </c>
      <c r="Q69" s="31">
        <f>AU69+MIN(AA68+AK69-AU69,MAX(0,ROUND(ROUND(Долги!$D$19-SUM($AL69:$AU69),2)-(SUM($H69:P69)-SUM($AL69:AT69)),2)))</f>
        <v>0.0</v>
      </c>
      <c r="R69" s="31">
        <f>IF(R68+AB69-H69&lt;=0.01,0,ROUND(R68+AB69-H69,2))</f>
        <v>0.0</v>
      </c>
      <c r="S69" s="31">
        <f>IF(S68+AC69-I69&lt;=0.01,0,ROUND(S68+AC69-I69,2))</f>
        <v>0.0</v>
      </c>
      <c r="T69" s="31">
        <f>IF(T68+AD69-J69&lt;=0.01,0,ROUND(T68+AD69-J69,2))</f>
        <v>0.0</v>
      </c>
      <c r="U69" s="31">
        <f>IF(U68+AE69-K69&lt;=0.01,0,ROUND(U68+AE69-K69,2))</f>
        <v>0.0</v>
      </c>
      <c r="V69" s="31">
        <f>IF(V68+AF69-L69&lt;=0.01,0,ROUND(V68+AF69-L69,2))</f>
        <v>0.0</v>
      </c>
      <c r="W69" s="31">
        <f>IF(W68+AG69-M69&lt;=0.01,0,ROUND(W68+AG69-M69,2))</f>
        <v>0.0</v>
      </c>
      <c r="X69" s="31">
        <f>IF(X68+AH69-N69&lt;=0.01,0,ROUND(X68+AH69-N69,2))</f>
        <v>0.0</v>
      </c>
      <c r="Y69" s="31">
        <f>IF(Y68+AI69-O69&lt;=0.01,0,ROUND(Y68+AI69-O69,2))</f>
        <v>0.0</v>
      </c>
      <c r="Z69" s="31">
        <f>IF(Z68+AJ69-P69&lt;=0.01,0,ROUND(Z68+AJ69-P69,2))</f>
        <v>0.0</v>
      </c>
      <c r="AA69" s="31">
        <f>IF(AA68+AK69-Q69&lt;=0.01,0,ROUND(AA68+AK69-Q69,2))</f>
        <v>0.0</v>
      </c>
      <c r="AB69" s="31">
        <f>ROUND(R68*AB$5/1200,2)</f>
        <v>0.0</v>
      </c>
      <c r="AC69" s="31">
        <f>ROUND(S68*AC$5/1200,2)</f>
        <v>0.0</v>
      </c>
      <c r="AD69" s="31">
        <f>ROUND(T68*AD$5/1200,2)</f>
        <v>0.0</v>
      </c>
      <c r="AE69" s="31">
        <f>ROUND(U68*AE$5/1200,2)</f>
        <v>0.0</v>
      </c>
      <c r="AF69" s="31">
        <f>ROUND(V68*AF$5/1200,2)</f>
        <v>0.0</v>
      </c>
      <c r="AG69" s="31">
        <f>ROUND(W68*AG$5/1200,2)</f>
        <v>0.0</v>
      </c>
      <c r="AH69" s="31">
        <f>ROUND(X68*AH$5/1200,2)</f>
        <v>0.0</v>
      </c>
      <c r="AI69" s="31">
        <f>ROUND(Y68*AI$5/1200,2)</f>
        <v>0.0</v>
      </c>
      <c r="AJ69" s="31">
        <f>ROUND(Z68*AJ$5/1200,2)</f>
        <v>0.0</v>
      </c>
      <c r="AK69" s="31">
        <f>ROUND(AA68*AK$5/1200,2)</f>
        <v>0.0</v>
      </c>
      <c r="AL69" s="31">
        <f>MIN(AL$5,R68+AB69)</f>
        <v>0.0</v>
      </c>
      <c r="AM69" s="31">
        <f>MIN(AM$5,S68+AC69)</f>
        <v>0.0</v>
      </c>
      <c r="AN69" s="31">
        <f>MIN(AN$5,T68+AD69)</f>
        <v>0.0</v>
      </c>
      <c r="AO69" s="31">
        <f>MIN(AO$5,U68+AE69)</f>
        <v>0.0</v>
      </c>
      <c r="AP69" s="31">
        <f>MIN(AP$5,V68+AF69)</f>
        <v>0.0</v>
      </c>
      <c r="AQ69" s="31">
        <f>MIN(AQ$5,W68+AG69)</f>
        <v>0.0</v>
      </c>
      <c r="AR69" s="31">
        <f>MIN(AR$5,X68+AH69)</f>
        <v>0.0</v>
      </c>
      <c r="AS69" s="31">
        <f>MIN(AS$5,Y68+AI69)</f>
        <v>0.0</v>
      </c>
      <c r="AT69" s="31">
        <f>MIN(AT$5,Z68+AJ69)</f>
        <v>0.0</v>
      </c>
      <c r="AU69" s="31">
        <f>MIN(AU$5,AA68+AK69)</f>
        <v>0.0</v>
      </c>
    </row>
    <row r="70">
      <c r="A70" s="25" t="str">
        <f>IF(F69&gt;0.005,65,"")</f>
        <v/>
      </c>
      <c r="B70" s="33" t="str">
        <f>IF(A70="","",EDATE(Долги!$D$5,64))</f>
        <v/>
      </c>
      <c r="C70" s="31">
        <f>SUM(H70:Q70)</f>
        <v>0.0</v>
      </c>
      <c r="D70" s="31">
        <f>SUM(AB70:AK70)</f>
        <v>0.0</v>
      </c>
      <c r="E70" s="31">
        <f>C70-D70</f>
        <v>0.0</v>
      </c>
      <c r="F70" s="31">
        <f>SUM(R70:AA70)</f>
        <v>0.0</v>
      </c>
      <c r="G70" s="34" t="str">
        <f>IF(OR(A70="",$F$5&lt;=0),"",REPT("█",ROUND(20*F70/$F$5,0)))</f>
        <v/>
      </c>
      <c r="H70" s="31">
        <f>AL70+MIN(R69+AB70-AL70,MAX(0,ROUND(Долги!$D$19-SUM($AL70:$AU70),2)))</f>
        <v>0.0</v>
      </c>
      <c r="I70" s="31">
        <f>AM70+MIN(S69+AC70-AM70,MAX(0,ROUND(ROUND(Долги!$D$19-SUM($AL70:$AU70),2)-(SUM($H70:H70)-SUM($AL70:AL70)),2)))</f>
        <v>0.0</v>
      </c>
      <c r="J70" s="31">
        <f>AN70+MIN(T69+AD70-AN70,MAX(0,ROUND(ROUND(Долги!$D$19-SUM($AL70:$AU70),2)-(SUM($H70:I70)-SUM($AL70:AM70)),2)))</f>
        <v>0.0</v>
      </c>
      <c r="K70" s="31">
        <f>AO70+MIN(U69+AE70-AO70,MAX(0,ROUND(ROUND(Долги!$D$19-SUM($AL70:$AU70),2)-(SUM($H70:J70)-SUM($AL70:AN70)),2)))</f>
        <v>0.0</v>
      </c>
      <c r="L70" s="31">
        <f>AP70+MIN(V69+AF70-AP70,MAX(0,ROUND(ROUND(Долги!$D$19-SUM($AL70:$AU70),2)-(SUM($H70:K70)-SUM($AL70:AO70)),2)))</f>
        <v>0.0</v>
      </c>
      <c r="M70" s="31">
        <f>AQ70+MIN(W69+AG70-AQ70,MAX(0,ROUND(ROUND(Долги!$D$19-SUM($AL70:$AU70),2)-(SUM($H70:L70)-SUM($AL70:AP70)),2)))</f>
        <v>0.0</v>
      </c>
      <c r="N70" s="31">
        <f>AR70+MIN(X69+AH70-AR70,MAX(0,ROUND(ROUND(Долги!$D$19-SUM($AL70:$AU70),2)-(SUM($H70:M70)-SUM($AL70:AQ70)),2)))</f>
        <v>0.0</v>
      </c>
      <c r="O70" s="31">
        <f>AS70+MIN(Y69+AI70-AS70,MAX(0,ROUND(ROUND(Долги!$D$19-SUM($AL70:$AU70),2)-(SUM($H70:N70)-SUM($AL70:AR70)),2)))</f>
        <v>0.0</v>
      </c>
      <c r="P70" s="31">
        <f>AT70+MIN(Z69+AJ70-AT70,MAX(0,ROUND(ROUND(Долги!$D$19-SUM($AL70:$AU70),2)-(SUM($H70:O70)-SUM($AL70:AS70)),2)))</f>
        <v>0.0</v>
      </c>
      <c r="Q70" s="31">
        <f>AU70+MIN(AA69+AK70-AU70,MAX(0,ROUND(ROUND(Долги!$D$19-SUM($AL70:$AU70),2)-(SUM($H70:P70)-SUM($AL70:AT70)),2)))</f>
        <v>0.0</v>
      </c>
      <c r="R70" s="31">
        <f>IF(R69+AB70-H70&lt;=0.01,0,ROUND(R69+AB70-H70,2))</f>
        <v>0.0</v>
      </c>
      <c r="S70" s="31">
        <f>IF(S69+AC70-I70&lt;=0.01,0,ROUND(S69+AC70-I70,2))</f>
        <v>0.0</v>
      </c>
      <c r="T70" s="31">
        <f>IF(T69+AD70-J70&lt;=0.01,0,ROUND(T69+AD70-J70,2))</f>
        <v>0.0</v>
      </c>
      <c r="U70" s="31">
        <f>IF(U69+AE70-K70&lt;=0.01,0,ROUND(U69+AE70-K70,2))</f>
        <v>0.0</v>
      </c>
      <c r="V70" s="31">
        <f>IF(V69+AF70-L70&lt;=0.01,0,ROUND(V69+AF70-L70,2))</f>
        <v>0.0</v>
      </c>
      <c r="W70" s="31">
        <f>IF(W69+AG70-M70&lt;=0.01,0,ROUND(W69+AG70-M70,2))</f>
        <v>0.0</v>
      </c>
      <c r="X70" s="31">
        <f>IF(X69+AH70-N70&lt;=0.01,0,ROUND(X69+AH70-N70,2))</f>
        <v>0.0</v>
      </c>
      <c r="Y70" s="31">
        <f>IF(Y69+AI70-O70&lt;=0.01,0,ROUND(Y69+AI70-O70,2))</f>
        <v>0.0</v>
      </c>
      <c r="Z70" s="31">
        <f>IF(Z69+AJ70-P70&lt;=0.01,0,ROUND(Z69+AJ70-P70,2))</f>
        <v>0.0</v>
      </c>
      <c r="AA70" s="31">
        <f>IF(AA69+AK70-Q70&lt;=0.01,0,ROUND(AA69+AK70-Q70,2))</f>
        <v>0.0</v>
      </c>
      <c r="AB70" s="31">
        <f>ROUND(R69*AB$5/1200,2)</f>
        <v>0.0</v>
      </c>
      <c r="AC70" s="31">
        <f>ROUND(S69*AC$5/1200,2)</f>
        <v>0.0</v>
      </c>
      <c r="AD70" s="31">
        <f>ROUND(T69*AD$5/1200,2)</f>
        <v>0.0</v>
      </c>
      <c r="AE70" s="31">
        <f>ROUND(U69*AE$5/1200,2)</f>
        <v>0.0</v>
      </c>
      <c r="AF70" s="31">
        <f>ROUND(V69*AF$5/1200,2)</f>
        <v>0.0</v>
      </c>
      <c r="AG70" s="31">
        <f>ROUND(W69*AG$5/1200,2)</f>
        <v>0.0</v>
      </c>
      <c r="AH70" s="31">
        <f>ROUND(X69*AH$5/1200,2)</f>
        <v>0.0</v>
      </c>
      <c r="AI70" s="31">
        <f>ROUND(Y69*AI$5/1200,2)</f>
        <v>0.0</v>
      </c>
      <c r="AJ70" s="31">
        <f>ROUND(Z69*AJ$5/1200,2)</f>
        <v>0.0</v>
      </c>
      <c r="AK70" s="31">
        <f>ROUND(AA69*AK$5/1200,2)</f>
        <v>0.0</v>
      </c>
      <c r="AL70" s="31">
        <f>MIN(AL$5,R69+AB70)</f>
        <v>0.0</v>
      </c>
      <c r="AM70" s="31">
        <f>MIN(AM$5,S69+AC70)</f>
        <v>0.0</v>
      </c>
      <c r="AN70" s="31">
        <f>MIN(AN$5,T69+AD70)</f>
        <v>0.0</v>
      </c>
      <c r="AO70" s="31">
        <f>MIN(AO$5,U69+AE70)</f>
        <v>0.0</v>
      </c>
      <c r="AP70" s="31">
        <f>MIN(AP$5,V69+AF70)</f>
        <v>0.0</v>
      </c>
      <c r="AQ70" s="31">
        <f>MIN(AQ$5,W69+AG70)</f>
        <v>0.0</v>
      </c>
      <c r="AR70" s="31">
        <f>MIN(AR$5,X69+AH70)</f>
        <v>0.0</v>
      </c>
      <c r="AS70" s="31">
        <f>MIN(AS$5,Y69+AI70)</f>
        <v>0.0</v>
      </c>
      <c r="AT70" s="31">
        <f>MIN(AT$5,Z69+AJ70)</f>
        <v>0.0</v>
      </c>
      <c r="AU70" s="31">
        <f>MIN(AU$5,AA69+AK70)</f>
        <v>0.0</v>
      </c>
    </row>
    <row r="71">
      <c r="A71" s="25" t="str">
        <f>IF(F70&gt;0.005,66,"")</f>
        <v/>
      </c>
      <c r="B71" s="33" t="str">
        <f>IF(A71="","",EDATE(Долги!$D$5,65))</f>
        <v/>
      </c>
      <c r="C71" s="31">
        <f>SUM(H71:Q71)</f>
        <v>0.0</v>
      </c>
      <c r="D71" s="31">
        <f>SUM(AB71:AK71)</f>
        <v>0.0</v>
      </c>
      <c r="E71" s="31">
        <f>C71-D71</f>
        <v>0.0</v>
      </c>
      <c r="F71" s="31">
        <f>SUM(R71:AA71)</f>
        <v>0.0</v>
      </c>
      <c r="G71" s="34" t="str">
        <f>IF(OR(A71="",$F$5&lt;=0),"",REPT("█",ROUND(20*F71/$F$5,0)))</f>
        <v/>
      </c>
      <c r="H71" s="31">
        <f>AL71+MIN(R70+AB71-AL71,MAX(0,ROUND(Долги!$D$19-SUM($AL71:$AU71),2)))</f>
        <v>0.0</v>
      </c>
      <c r="I71" s="31">
        <f>AM71+MIN(S70+AC71-AM71,MAX(0,ROUND(ROUND(Долги!$D$19-SUM($AL71:$AU71),2)-(SUM($H71:H71)-SUM($AL71:AL71)),2)))</f>
        <v>0.0</v>
      </c>
      <c r="J71" s="31">
        <f>AN71+MIN(T70+AD71-AN71,MAX(0,ROUND(ROUND(Долги!$D$19-SUM($AL71:$AU71),2)-(SUM($H71:I71)-SUM($AL71:AM71)),2)))</f>
        <v>0.0</v>
      </c>
      <c r="K71" s="31">
        <f>AO71+MIN(U70+AE71-AO71,MAX(0,ROUND(ROUND(Долги!$D$19-SUM($AL71:$AU71),2)-(SUM($H71:J71)-SUM($AL71:AN71)),2)))</f>
        <v>0.0</v>
      </c>
      <c r="L71" s="31">
        <f>AP71+MIN(V70+AF71-AP71,MAX(0,ROUND(ROUND(Долги!$D$19-SUM($AL71:$AU71),2)-(SUM($H71:K71)-SUM($AL71:AO71)),2)))</f>
        <v>0.0</v>
      </c>
      <c r="M71" s="31">
        <f>AQ71+MIN(W70+AG71-AQ71,MAX(0,ROUND(ROUND(Долги!$D$19-SUM($AL71:$AU71),2)-(SUM($H71:L71)-SUM($AL71:AP71)),2)))</f>
        <v>0.0</v>
      </c>
      <c r="N71" s="31">
        <f>AR71+MIN(X70+AH71-AR71,MAX(0,ROUND(ROUND(Долги!$D$19-SUM($AL71:$AU71),2)-(SUM($H71:M71)-SUM($AL71:AQ71)),2)))</f>
        <v>0.0</v>
      </c>
      <c r="O71" s="31">
        <f>AS71+MIN(Y70+AI71-AS71,MAX(0,ROUND(ROUND(Долги!$D$19-SUM($AL71:$AU71),2)-(SUM($H71:N71)-SUM($AL71:AR71)),2)))</f>
        <v>0.0</v>
      </c>
      <c r="P71" s="31">
        <f>AT71+MIN(Z70+AJ71-AT71,MAX(0,ROUND(ROUND(Долги!$D$19-SUM($AL71:$AU71),2)-(SUM($H71:O71)-SUM($AL71:AS71)),2)))</f>
        <v>0.0</v>
      </c>
      <c r="Q71" s="31">
        <f>AU71+MIN(AA70+AK71-AU71,MAX(0,ROUND(ROUND(Долги!$D$19-SUM($AL71:$AU71),2)-(SUM($H71:P71)-SUM($AL71:AT71)),2)))</f>
        <v>0.0</v>
      </c>
      <c r="R71" s="31">
        <f>IF(R70+AB71-H71&lt;=0.01,0,ROUND(R70+AB71-H71,2))</f>
        <v>0.0</v>
      </c>
      <c r="S71" s="31">
        <f>IF(S70+AC71-I71&lt;=0.01,0,ROUND(S70+AC71-I71,2))</f>
        <v>0.0</v>
      </c>
      <c r="T71" s="31">
        <f>IF(T70+AD71-J71&lt;=0.01,0,ROUND(T70+AD71-J71,2))</f>
        <v>0.0</v>
      </c>
      <c r="U71" s="31">
        <f>IF(U70+AE71-K71&lt;=0.01,0,ROUND(U70+AE71-K71,2))</f>
        <v>0.0</v>
      </c>
      <c r="V71" s="31">
        <f>IF(V70+AF71-L71&lt;=0.01,0,ROUND(V70+AF71-L71,2))</f>
        <v>0.0</v>
      </c>
      <c r="W71" s="31">
        <f>IF(W70+AG71-M71&lt;=0.01,0,ROUND(W70+AG71-M71,2))</f>
        <v>0.0</v>
      </c>
      <c r="X71" s="31">
        <f>IF(X70+AH71-N71&lt;=0.01,0,ROUND(X70+AH71-N71,2))</f>
        <v>0.0</v>
      </c>
      <c r="Y71" s="31">
        <f>IF(Y70+AI71-O71&lt;=0.01,0,ROUND(Y70+AI71-O71,2))</f>
        <v>0.0</v>
      </c>
      <c r="Z71" s="31">
        <f>IF(Z70+AJ71-P71&lt;=0.01,0,ROUND(Z70+AJ71-P71,2))</f>
        <v>0.0</v>
      </c>
      <c r="AA71" s="31">
        <f>IF(AA70+AK71-Q71&lt;=0.01,0,ROUND(AA70+AK71-Q71,2))</f>
        <v>0.0</v>
      </c>
      <c r="AB71" s="31">
        <f>ROUND(R70*AB$5/1200,2)</f>
        <v>0.0</v>
      </c>
      <c r="AC71" s="31">
        <f>ROUND(S70*AC$5/1200,2)</f>
        <v>0.0</v>
      </c>
      <c r="AD71" s="31">
        <f>ROUND(T70*AD$5/1200,2)</f>
        <v>0.0</v>
      </c>
      <c r="AE71" s="31">
        <f>ROUND(U70*AE$5/1200,2)</f>
        <v>0.0</v>
      </c>
      <c r="AF71" s="31">
        <f>ROUND(V70*AF$5/1200,2)</f>
        <v>0.0</v>
      </c>
      <c r="AG71" s="31">
        <f>ROUND(W70*AG$5/1200,2)</f>
        <v>0.0</v>
      </c>
      <c r="AH71" s="31">
        <f>ROUND(X70*AH$5/1200,2)</f>
        <v>0.0</v>
      </c>
      <c r="AI71" s="31">
        <f>ROUND(Y70*AI$5/1200,2)</f>
        <v>0.0</v>
      </c>
      <c r="AJ71" s="31">
        <f>ROUND(Z70*AJ$5/1200,2)</f>
        <v>0.0</v>
      </c>
      <c r="AK71" s="31">
        <f>ROUND(AA70*AK$5/1200,2)</f>
        <v>0.0</v>
      </c>
      <c r="AL71" s="31">
        <f>MIN(AL$5,R70+AB71)</f>
        <v>0.0</v>
      </c>
      <c r="AM71" s="31">
        <f>MIN(AM$5,S70+AC71)</f>
        <v>0.0</v>
      </c>
      <c r="AN71" s="31">
        <f>MIN(AN$5,T70+AD71)</f>
        <v>0.0</v>
      </c>
      <c r="AO71" s="31">
        <f>MIN(AO$5,U70+AE71)</f>
        <v>0.0</v>
      </c>
      <c r="AP71" s="31">
        <f>MIN(AP$5,V70+AF71)</f>
        <v>0.0</v>
      </c>
      <c r="AQ71" s="31">
        <f>MIN(AQ$5,W70+AG71)</f>
        <v>0.0</v>
      </c>
      <c r="AR71" s="31">
        <f>MIN(AR$5,X70+AH71)</f>
        <v>0.0</v>
      </c>
      <c r="AS71" s="31">
        <f>MIN(AS$5,Y70+AI71)</f>
        <v>0.0</v>
      </c>
      <c r="AT71" s="31">
        <f>MIN(AT$5,Z70+AJ71)</f>
        <v>0.0</v>
      </c>
      <c r="AU71" s="31">
        <f>MIN(AU$5,AA70+AK71)</f>
        <v>0.0</v>
      </c>
    </row>
    <row r="72">
      <c r="A72" s="25" t="str">
        <f>IF(F71&gt;0.005,67,"")</f>
        <v/>
      </c>
      <c r="B72" s="33" t="str">
        <f>IF(A72="","",EDATE(Долги!$D$5,66))</f>
        <v/>
      </c>
      <c r="C72" s="31">
        <f>SUM(H72:Q72)</f>
        <v>0.0</v>
      </c>
      <c r="D72" s="31">
        <f>SUM(AB72:AK72)</f>
        <v>0.0</v>
      </c>
      <c r="E72" s="31">
        <f>C72-D72</f>
        <v>0.0</v>
      </c>
      <c r="F72" s="31">
        <f>SUM(R72:AA72)</f>
        <v>0.0</v>
      </c>
      <c r="G72" s="34" t="str">
        <f>IF(OR(A72="",$F$5&lt;=0),"",REPT("█",ROUND(20*F72/$F$5,0)))</f>
        <v/>
      </c>
      <c r="H72" s="31">
        <f>AL72+MIN(R71+AB72-AL72,MAX(0,ROUND(Долги!$D$19-SUM($AL72:$AU72),2)))</f>
        <v>0.0</v>
      </c>
      <c r="I72" s="31">
        <f>AM72+MIN(S71+AC72-AM72,MAX(0,ROUND(ROUND(Долги!$D$19-SUM($AL72:$AU72),2)-(SUM($H72:H72)-SUM($AL72:AL72)),2)))</f>
        <v>0.0</v>
      </c>
      <c r="J72" s="31">
        <f>AN72+MIN(T71+AD72-AN72,MAX(0,ROUND(ROUND(Долги!$D$19-SUM($AL72:$AU72),2)-(SUM($H72:I72)-SUM($AL72:AM72)),2)))</f>
        <v>0.0</v>
      </c>
      <c r="K72" s="31">
        <f>AO72+MIN(U71+AE72-AO72,MAX(0,ROUND(ROUND(Долги!$D$19-SUM($AL72:$AU72),2)-(SUM($H72:J72)-SUM($AL72:AN72)),2)))</f>
        <v>0.0</v>
      </c>
      <c r="L72" s="31">
        <f>AP72+MIN(V71+AF72-AP72,MAX(0,ROUND(ROUND(Долги!$D$19-SUM($AL72:$AU72),2)-(SUM($H72:K72)-SUM($AL72:AO72)),2)))</f>
        <v>0.0</v>
      </c>
      <c r="M72" s="31">
        <f>AQ72+MIN(W71+AG72-AQ72,MAX(0,ROUND(ROUND(Долги!$D$19-SUM($AL72:$AU72),2)-(SUM($H72:L72)-SUM($AL72:AP72)),2)))</f>
        <v>0.0</v>
      </c>
      <c r="N72" s="31">
        <f>AR72+MIN(X71+AH72-AR72,MAX(0,ROUND(ROUND(Долги!$D$19-SUM($AL72:$AU72),2)-(SUM($H72:M72)-SUM($AL72:AQ72)),2)))</f>
        <v>0.0</v>
      </c>
      <c r="O72" s="31">
        <f>AS72+MIN(Y71+AI72-AS72,MAX(0,ROUND(ROUND(Долги!$D$19-SUM($AL72:$AU72),2)-(SUM($H72:N72)-SUM($AL72:AR72)),2)))</f>
        <v>0.0</v>
      </c>
      <c r="P72" s="31">
        <f>AT72+MIN(Z71+AJ72-AT72,MAX(0,ROUND(ROUND(Долги!$D$19-SUM($AL72:$AU72),2)-(SUM($H72:O72)-SUM($AL72:AS72)),2)))</f>
        <v>0.0</v>
      </c>
      <c r="Q72" s="31">
        <f>AU72+MIN(AA71+AK72-AU72,MAX(0,ROUND(ROUND(Долги!$D$19-SUM($AL72:$AU72),2)-(SUM($H72:P72)-SUM($AL72:AT72)),2)))</f>
        <v>0.0</v>
      </c>
      <c r="R72" s="31">
        <f>IF(R71+AB72-H72&lt;=0.01,0,ROUND(R71+AB72-H72,2))</f>
        <v>0.0</v>
      </c>
      <c r="S72" s="31">
        <f>IF(S71+AC72-I72&lt;=0.01,0,ROUND(S71+AC72-I72,2))</f>
        <v>0.0</v>
      </c>
      <c r="T72" s="31">
        <f>IF(T71+AD72-J72&lt;=0.01,0,ROUND(T71+AD72-J72,2))</f>
        <v>0.0</v>
      </c>
      <c r="U72" s="31">
        <f>IF(U71+AE72-K72&lt;=0.01,0,ROUND(U71+AE72-K72,2))</f>
        <v>0.0</v>
      </c>
      <c r="V72" s="31">
        <f>IF(V71+AF72-L72&lt;=0.01,0,ROUND(V71+AF72-L72,2))</f>
        <v>0.0</v>
      </c>
      <c r="W72" s="31">
        <f>IF(W71+AG72-M72&lt;=0.01,0,ROUND(W71+AG72-M72,2))</f>
        <v>0.0</v>
      </c>
      <c r="X72" s="31">
        <f>IF(X71+AH72-N72&lt;=0.01,0,ROUND(X71+AH72-N72,2))</f>
        <v>0.0</v>
      </c>
      <c r="Y72" s="31">
        <f>IF(Y71+AI72-O72&lt;=0.01,0,ROUND(Y71+AI72-O72,2))</f>
        <v>0.0</v>
      </c>
      <c r="Z72" s="31">
        <f>IF(Z71+AJ72-P72&lt;=0.01,0,ROUND(Z71+AJ72-P72,2))</f>
        <v>0.0</v>
      </c>
      <c r="AA72" s="31">
        <f>IF(AA71+AK72-Q72&lt;=0.01,0,ROUND(AA71+AK72-Q72,2))</f>
        <v>0.0</v>
      </c>
      <c r="AB72" s="31">
        <f>ROUND(R71*AB$5/1200,2)</f>
        <v>0.0</v>
      </c>
      <c r="AC72" s="31">
        <f>ROUND(S71*AC$5/1200,2)</f>
        <v>0.0</v>
      </c>
      <c r="AD72" s="31">
        <f>ROUND(T71*AD$5/1200,2)</f>
        <v>0.0</v>
      </c>
      <c r="AE72" s="31">
        <f>ROUND(U71*AE$5/1200,2)</f>
        <v>0.0</v>
      </c>
      <c r="AF72" s="31">
        <f>ROUND(V71*AF$5/1200,2)</f>
        <v>0.0</v>
      </c>
      <c r="AG72" s="31">
        <f>ROUND(W71*AG$5/1200,2)</f>
        <v>0.0</v>
      </c>
      <c r="AH72" s="31">
        <f>ROUND(X71*AH$5/1200,2)</f>
        <v>0.0</v>
      </c>
      <c r="AI72" s="31">
        <f>ROUND(Y71*AI$5/1200,2)</f>
        <v>0.0</v>
      </c>
      <c r="AJ72" s="31">
        <f>ROUND(Z71*AJ$5/1200,2)</f>
        <v>0.0</v>
      </c>
      <c r="AK72" s="31">
        <f>ROUND(AA71*AK$5/1200,2)</f>
        <v>0.0</v>
      </c>
      <c r="AL72" s="31">
        <f>MIN(AL$5,R71+AB72)</f>
        <v>0.0</v>
      </c>
      <c r="AM72" s="31">
        <f>MIN(AM$5,S71+AC72)</f>
        <v>0.0</v>
      </c>
      <c r="AN72" s="31">
        <f>MIN(AN$5,T71+AD72)</f>
        <v>0.0</v>
      </c>
      <c r="AO72" s="31">
        <f>MIN(AO$5,U71+AE72)</f>
        <v>0.0</v>
      </c>
      <c r="AP72" s="31">
        <f>MIN(AP$5,V71+AF72)</f>
        <v>0.0</v>
      </c>
      <c r="AQ72" s="31">
        <f>MIN(AQ$5,W71+AG72)</f>
        <v>0.0</v>
      </c>
      <c r="AR72" s="31">
        <f>MIN(AR$5,X71+AH72)</f>
        <v>0.0</v>
      </c>
      <c r="AS72" s="31">
        <f>MIN(AS$5,Y71+AI72)</f>
        <v>0.0</v>
      </c>
      <c r="AT72" s="31">
        <f>MIN(AT$5,Z71+AJ72)</f>
        <v>0.0</v>
      </c>
      <c r="AU72" s="31">
        <f>MIN(AU$5,AA71+AK72)</f>
        <v>0.0</v>
      </c>
    </row>
    <row r="73">
      <c r="A73" s="25" t="str">
        <f>IF(F72&gt;0.005,68,"")</f>
        <v/>
      </c>
      <c r="B73" s="33" t="str">
        <f>IF(A73="","",EDATE(Долги!$D$5,67))</f>
        <v/>
      </c>
      <c r="C73" s="31">
        <f>SUM(H73:Q73)</f>
        <v>0.0</v>
      </c>
      <c r="D73" s="31">
        <f>SUM(AB73:AK73)</f>
        <v>0.0</v>
      </c>
      <c r="E73" s="31">
        <f>C73-D73</f>
        <v>0.0</v>
      </c>
      <c r="F73" s="31">
        <f>SUM(R73:AA73)</f>
        <v>0.0</v>
      </c>
      <c r="G73" s="34" t="str">
        <f>IF(OR(A73="",$F$5&lt;=0),"",REPT("█",ROUND(20*F73/$F$5,0)))</f>
        <v/>
      </c>
      <c r="H73" s="31">
        <f>AL73+MIN(R72+AB73-AL73,MAX(0,ROUND(Долги!$D$19-SUM($AL73:$AU73),2)))</f>
        <v>0.0</v>
      </c>
      <c r="I73" s="31">
        <f>AM73+MIN(S72+AC73-AM73,MAX(0,ROUND(ROUND(Долги!$D$19-SUM($AL73:$AU73),2)-(SUM($H73:H73)-SUM($AL73:AL73)),2)))</f>
        <v>0.0</v>
      </c>
      <c r="J73" s="31">
        <f>AN73+MIN(T72+AD73-AN73,MAX(0,ROUND(ROUND(Долги!$D$19-SUM($AL73:$AU73),2)-(SUM($H73:I73)-SUM($AL73:AM73)),2)))</f>
        <v>0.0</v>
      </c>
      <c r="K73" s="31">
        <f>AO73+MIN(U72+AE73-AO73,MAX(0,ROUND(ROUND(Долги!$D$19-SUM($AL73:$AU73),2)-(SUM($H73:J73)-SUM($AL73:AN73)),2)))</f>
        <v>0.0</v>
      </c>
      <c r="L73" s="31">
        <f>AP73+MIN(V72+AF73-AP73,MAX(0,ROUND(ROUND(Долги!$D$19-SUM($AL73:$AU73),2)-(SUM($H73:K73)-SUM($AL73:AO73)),2)))</f>
        <v>0.0</v>
      </c>
      <c r="M73" s="31">
        <f>AQ73+MIN(W72+AG73-AQ73,MAX(0,ROUND(ROUND(Долги!$D$19-SUM($AL73:$AU73),2)-(SUM($H73:L73)-SUM($AL73:AP73)),2)))</f>
        <v>0.0</v>
      </c>
      <c r="N73" s="31">
        <f>AR73+MIN(X72+AH73-AR73,MAX(0,ROUND(ROUND(Долги!$D$19-SUM($AL73:$AU73),2)-(SUM($H73:M73)-SUM($AL73:AQ73)),2)))</f>
        <v>0.0</v>
      </c>
      <c r="O73" s="31">
        <f>AS73+MIN(Y72+AI73-AS73,MAX(0,ROUND(ROUND(Долги!$D$19-SUM($AL73:$AU73),2)-(SUM($H73:N73)-SUM($AL73:AR73)),2)))</f>
        <v>0.0</v>
      </c>
      <c r="P73" s="31">
        <f>AT73+MIN(Z72+AJ73-AT73,MAX(0,ROUND(ROUND(Долги!$D$19-SUM($AL73:$AU73),2)-(SUM($H73:O73)-SUM($AL73:AS73)),2)))</f>
        <v>0.0</v>
      </c>
      <c r="Q73" s="31">
        <f>AU73+MIN(AA72+AK73-AU73,MAX(0,ROUND(ROUND(Долги!$D$19-SUM($AL73:$AU73),2)-(SUM($H73:P73)-SUM($AL73:AT73)),2)))</f>
        <v>0.0</v>
      </c>
      <c r="R73" s="31">
        <f>IF(R72+AB73-H73&lt;=0.01,0,ROUND(R72+AB73-H73,2))</f>
        <v>0.0</v>
      </c>
      <c r="S73" s="31">
        <f>IF(S72+AC73-I73&lt;=0.01,0,ROUND(S72+AC73-I73,2))</f>
        <v>0.0</v>
      </c>
      <c r="T73" s="31">
        <f>IF(T72+AD73-J73&lt;=0.01,0,ROUND(T72+AD73-J73,2))</f>
        <v>0.0</v>
      </c>
      <c r="U73" s="31">
        <f>IF(U72+AE73-K73&lt;=0.01,0,ROUND(U72+AE73-K73,2))</f>
        <v>0.0</v>
      </c>
      <c r="V73" s="31">
        <f>IF(V72+AF73-L73&lt;=0.01,0,ROUND(V72+AF73-L73,2))</f>
        <v>0.0</v>
      </c>
      <c r="W73" s="31">
        <f>IF(W72+AG73-M73&lt;=0.01,0,ROUND(W72+AG73-M73,2))</f>
        <v>0.0</v>
      </c>
      <c r="X73" s="31">
        <f>IF(X72+AH73-N73&lt;=0.01,0,ROUND(X72+AH73-N73,2))</f>
        <v>0.0</v>
      </c>
      <c r="Y73" s="31">
        <f>IF(Y72+AI73-O73&lt;=0.01,0,ROUND(Y72+AI73-O73,2))</f>
        <v>0.0</v>
      </c>
      <c r="Z73" s="31">
        <f>IF(Z72+AJ73-P73&lt;=0.01,0,ROUND(Z72+AJ73-P73,2))</f>
        <v>0.0</v>
      </c>
      <c r="AA73" s="31">
        <f>IF(AA72+AK73-Q73&lt;=0.01,0,ROUND(AA72+AK73-Q73,2))</f>
        <v>0.0</v>
      </c>
      <c r="AB73" s="31">
        <f>ROUND(R72*AB$5/1200,2)</f>
        <v>0.0</v>
      </c>
      <c r="AC73" s="31">
        <f>ROUND(S72*AC$5/1200,2)</f>
        <v>0.0</v>
      </c>
      <c r="AD73" s="31">
        <f>ROUND(T72*AD$5/1200,2)</f>
        <v>0.0</v>
      </c>
      <c r="AE73" s="31">
        <f>ROUND(U72*AE$5/1200,2)</f>
        <v>0.0</v>
      </c>
      <c r="AF73" s="31">
        <f>ROUND(V72*AF$5/1200,2)</f>
        <v>0.0</v>
      </c>
      <c r="AG73" s="31">
        <f>ROUND(W72*AG$5/1200,2)</f>
        <v>0.0</v>
      </c>
      <c r="AH73" s="31">
        <f>ROUND(X72*AH$5/1200,2)</f>
        <v>0.0</v>
      </c>
      <c r="AI73" s="31">
        <f>ROUND(Y72*AI$5/1200,2)</f>
        <v>0.0</v>
      </c>
      <c r="AJ73" s="31">
        <f>ROUND(Z72*AJ$5/1200,2)</f>
        <v>0.0</v>
      </c>
      <c r="AK73" s="31">
        <f>ROUND(AA72*AK$5/1200,2)</f>
        <v>0.0</v>
      </c>
      <c r="AL73" s="31">
        <f>MIN(AL$5,R72+AB73)</f>
        <v>0.0</v>
      </c>
      <c r="AM73" s="31">
        <f>MIN(AM$5,S72+AC73)</f>
        <v>0.0</v>
      </c>
      <c r="AN73" s="31">
        <f>MIN(AN$5,T72+AD73)</f>
        <v>0.0</v>
      </c>
      <c r="AO73" s="31">
        <f>MIN(AO$5,U72+AE73)</f>
        <v>0.0</v>
      </c>
      <c r="AP73" s="31">
        <f>MIN(AP$5,V72+AF73)</f>
        <v>0.0</v>
      </c>
      <c r="AQ73" s="31">
        <f>MIN(AQ$5,W72+AG73)</f>
        <v>0.0</v>
      </c>
      <c r="AR73" s="31">
        <f>MIN(AR$5,X72+AH73)</f>
        <v>0.0</v>
      </c>
      <c r="AS73" s="31">
        <f>MIN(AS$5,Y72+AI73)</f>
        <v>0.0</v>
      </c>
      <c r="AT73" s="31">
        <f>MIN(AT$5,Z72+AJ73)</f>
        <v>0.0</v>
      </c>
      <c r="AU73" s="31">
        <f>MIN(AU$5,AA72+AK73)</f>
        <v>0.0</v>
      </c>
    </row>
    <row r="74">
      <c r="A74" s="25" t="str">
        <f>IF(F73&gt;0.005,69,"")</f>
        <v/>
      </c>
      <c r="B74" s="33" t="str">
        <f>IF(A74="","",EDATE(Долги!$D$5,68))</f>
        <v/>
      </c>
      <c r="C74" s="31">
        <f>SUM(H74:Q74)</f>
        <v>0.0</v>
      </c>
      <c r="D74" s="31">
        <f>SUM(AB74:AK74)</f>
        <v>0.0</v>
      </c>
      <c r="E74" s="31">
        <f>C74-D74</f>
        <v>0.0</v>
      </c>
      <c r="F74" s="31">
        <f>SUM(R74:AA74)</f>
        <v>0.0</v>
      </c>
      <c r="G74" s="34" t="str">
        <f>IF(OR(A74="",$F$5&lt;=0),"",REPT("█",ROUND(20*F74/$F$5,0)))</f>
        <v/>
      </c>
      <c r="H74" s="31">
        <f>AL74+MIN(R73+AB74-AL74,MAX(0,ROUND(Долги!$D$19-SUM($AL74:$AU74),2)))</f>
        <v>0.0</v>
      </c>
      <c r="I74" s="31">
        <f>AM74+MIN(S73+AC74-AM74,MAX(0,ROUND(ROUND(Долги!$D$19-SUM($AL74:$AU74),2)-(SUM($H74:H74)-SUM($AL74:AL74)),2)))</f>
        <v>0.0</v>
      </c>
      <c r="J74" s="31">
        <f>AN74+MIN(T73+AD74-AN74,MAX(0,ROUND(ROUND(Долги!$D$19-SUM($AL74:$AU74),2)-(SUM($H74:I74)-SUM($AL74:AM74)),2)))</f>
        <v>0.0</v>
      </c>
      <c r="K74" s="31">
        <f>AO74+MIN(U73+AE74-AO74,MAX(0,ROUND(ROUND(Долги!$D$19-SUM($AL74:$AU74),2)-(SUM($H74:J74)-SUM($AL74:AN74)),2)))</f>
        <v>0.0</v>
      </c>
      <c r="L74" s="31">
        <f>AP74+MIN(V73+AF74-AP74,MAX(0,ROUND(ROUND(Долги!$D$19-SUM($AL74:$AU74),2)-(SUM($H74:K74)-SUM($AL74:AO74)),2)))</f>
        <v>0.0</v>
      </c>
      <c r="M74" s="31">
        <f>AQ74+MIN(W73+AG74-AQ74,MAX(0,ROUND(ROUND(Долги!$D$19-SUM($AL74:$AU74),2)-(SUM($H74:L74)-SUM($AL74:AP74)),2)))</f>
        <v>0.0</v>
      </c>
      <c r="N74" s="31">
        <f>AR74+MIN(X73+AH74-AR74,MAX(0,ROUND(ROUND(Долги!$D$19-SUM($AL74:$AU74),2)-(SUM($H74:M74)-SUM($AL74:AQ74)),2)))</f>
        <v>0.0</v>
      </c>
      <c r="O74" s="31">
        <f>AS74+MIN(Y73+AI74-AS74,MAX(0,ROUND(ROUND(Долги!$D$19-SUM($AL74:$AU74),2)-(SUM($H74:N74)-SUM($AL74:AR74)),2)))</f>
        <v>0.0</v>
      </c>
      <c r="P74" s="31">
        <f>AT74+MIN(Z73+AJ74-AT74,MAX(0,ROUND(ROUND(Долги!$D$19-SUM($AL74:$AU74),2)-(SUM($H74:O74)-SUM($AL74:AS74)),2)))</f>
        <v>0.0</v>
      </c>
      <c r="Q74" s="31">
        <f>AU74+MIN(AA73+AK74-AU74,MAX(0,ROUND(ROUND(Долги!$D$19-SUM($AL74:$AU74),2)-(SUM($H74:P74)-SUM($AL74:AT74)),2)))</f>
        <v>0.0</v>
      </c>
      <c r="R74" s="31">
        <f>IF(R73+AB74-H74&lt;=0.01,0,ROUND(R73+AB74-H74,2))</f>
        <v>0.0</v>
      </c>
      <c r="S74" s="31">
        <f>IF(S73+AC74-I74&lt;=0.01,0,ROUND(S73+AC74-I74,2))</f>
        <v>0.0</v>
      </c>
      <c r="T74" s="31">
        <f>IF(T73+AD74-J74&lt;=0.01,0,ROUND(T73+AD74-J74,2))</f>
        <v>0.0</v>
      </c>
      <c r="U74" s="31">
        <f>IF(U73+AE74-K74&lt;=0.01,0,ROUND(U73+AE74-K74,2))</f>
        <v>0.0</v>
      </c>
      <c r="V74" s="31">
        <f>IF(V73+AF74-L74&lt;=0.01,0,ROUND(V73+AF74-L74,2))</f>
        <v>0.0</v>
      </c>
      <c r="W74" s="31">
        <f>IF(W73+AG74-M74&lt;=0.01,0,ROUND(W73+AG74-M74,2))</f>
        <v>0.0</v>
      </c>
      <c r="X74" s="31">
        <f>IF(X73+AH74-N74&lt;=0.01,0,ROUND(X73+AH74-N74,2))</f>
        <v>0.0</v>
      </c>
      <c r="Y74" s="31">
        <f>IF(Y73+AI74-O74&lt;=0.01,0,ROUND(Y73+AI74-O74,2))</f>
        <v>0.0</v>
      </c>
      <c r="Z74" s="31">
        <f>IF(Z73+AJ74-P74&lt;=0.01,0,ROUND(Z73+AJ74-P74,2))</f>
        <v>0.0</v>
      </c>
      <c r="AA74" s="31">
        <f>IF(AA73+AK74-Q74&lt;=0.01,0,ROUND(AA73+AK74-Q74,2))</f>
        <v>0.0</v>
      </c>
      <c r="AB74" s="31">
        <f>ROUND(R73*AB$5/1200,2)</f>
        <v>0.0</v>
      </c>
      <c r="AC74" s="31">
        <f>ROUND(S73*AC$5/1200,2)</f>
        <v>0.0</v>
      </c>
      <c r="AD74" s="31">
        <f>ROUND(T73*AD$5/1200,2)</f>
        <v>0.0</v>
      </c>
      <c r="AE74" s="31">
        <f>ROUND(U73*AE$5/1200,2)</f>
        <v>0.0</v>
      </c>
      <c r="AF74" s="31">
        <f>ROUND(V73*AF$5/1200,2)</f>
        <v>0.0</v>
      </c>
      <c r="AG74" s="31">
        <f>ROUND(W73*AG$5/1200,2)</f>
        <v>0.0</v>
      </c>
      <c r="AH74" s="31">
        <f>ROUND(X73*AH$5/1200,2)</f>
        <v>0.0</v>
      </c>
      <c r="AI74" s="31">
        <f>ROUND(Y73*AI$5/1200,2)</f>
        <v>0.0</v>
      </c>
      <c r="AJ74" s="31">
        <f>ROUND(Z73*AJ$5/1200,2)</f>
        <v>0.0</v>
      </c>
      <c r="AK74" s="31">
        <f>ROUND(AA73*AK$5/1200,2)</f>
        <v>0.0</v>
      </c>
      <c r="AL74" s="31">
        <f>MIN(AL$5,R73+AB74)</f>
        <v>0.0</v>
      </c>
      <c r="AM74" s="31">
        <f>MIN(AM$5,S73+AC74)</f>
        <v>0.0</v>
      </c>
      <c r="AN74" s="31">
        <f>MIN(AN$5,T73+AD74)</f>
        <v>0.0</v>
      </c>
      <c r="AO74" s="31">
        <f>MIN(AO$5,U73+AE74)</f>
        <v>0.0</v>
      </c>
      <c r="AP74" s="31">
        <f>MIN(AP$5,V73+AF74)</f>
        <v>0.0</v>
      </c>
      <c r="AQ74" s="31">
        <f>MIN(AQ$5,W73+AG74)</f>
        <v>0.0</v>
      </c>
      <c r="AR74" s="31">
        <f>MIN(AR$5,X73+AH74)</f>
        <v>0.0</v>
      </c>
      <c r="AS74" s="31">
        <f>MIN(AS$5,Y73+AI74)</f>
        <v>0.0</v>
      </c>
      <c r="AT74" s="31">
        <f>MIN(AT$5,Z73+AJ74)</f>
        <v>0.0</v>
      </c>
      <c r="AU74" s="31">
        <f>MIN(AU$5,AA73+AK74)</f>
        <v>0.0</v>
      </c>
    </row>
    <row r="75">
      <c r="A75" s="25" t="str">
        <f>IF(F74&gt;0.005,70,"")</f>
        <v/>
      </c>
      <c r="B75" s="33" t="str">
        <f>IF(A75="","",EDATE(Долги!$D$5,69))</f>
        <v/>
      </c>
      <c r="C75" s="31">
        <f>SUM(H75:Q75)</f>
        <v>0.0</v>
      </c>
      <c r="D75" s="31">
        <f>SUM(AB75:AK75)</f>
        <v>0.0</v>
      </c>
      <c r="E75" s="31">
        <f>C75-D75</f>
        <v>0.0</v>
      </c>
      <c r="F75" s="31">
        <f>SUM(R75:AA75)</f>
        <v>0.0</v>
      </c>
      <c r="G75" s="34" t="str">
        <f>IF(OR(A75="",$F$5&lt;=0),"",REPT("█",ROUND(20*F75/$F$5,0)))</f>
        <v/>
      </c>
      <c r="H75" s="31">
        <f>AL75+MIN(R74+AB75-AL75,MAX(0,ROUND(Долги!$D$19-SUM($AL75:$AU75),2)))</f>
        <v>0.0</v>
      </c>
      <c r="I75" s="31">
        <f>AM75+MIN(S74+AC75-AM75,MAX(0,ROUND(ROUND(Долги!$D$19-SUM($AL75:$AU75),2)-(SUM($H75:H75)-SUM($AL75:AL75)),2)))</f>
        <v>0.0</v>
      </c>
      <c r="J75" s="31">
        <f>AN75+MIN(T74+AD75-AN75,MAX(0,ROUND(ROUND(Долги!$D$19-SUM($AL75:$AU75),2)-(SUM($H75:I75)-SUM($AL75:AM75)),2)))</f>
        <v>0.0</v>
      </c>
      <c r="K75" s="31">
        <f>AO75+MIN(U74+AE75-AO75,MAX(0,ROUND(ROUND(Долги!$D$19-SUM($AL75:$AU75),2)-(SUM($H75:J75)-SUM($AL75:AN75)),2)))</f>
        <v>0.0</v>
      </c>
      <c r="L75" s="31">
        <f>AP75+MIN(V74+AF75-AP75,MAX(0,ROUND(ROUND(Долги!$D$19-SUM($AL75:$AU75),2)-(SUM($H75:K75)-SUM($AL75:AO75)),2)))</f>
        <v>0.0</v>
      </c>
      <c r="M75" s="31">
        <f>AQ75+MIN(W74+AG75-AQ75,MAX(0,ROUND(ROUND(Долги!$D$19-SUM($AL75:$AU75),2)-(SUM($H75:L75)-SUM($AL75:AP75)),2)))</f>
        <v>0.0</v>
      </c>
      <c r="N75" s="31">
        <f>AR75+MIN(X74+AH75-AR75,MAX(0,ROUND(ROUND(Долги!$D$19-SUM($AL75:$AU75),2)-(SUM($H75:M75)-SUM($AL75:AQ75)),2)))</f>
        <v>0.0</v>
      </c>
      <c r="O75" s="31">
        <f>AS75+MIN(Y74+AI75-AS75,MAX(0,ROUND(ROUND(Долги!$D$19-SUM($AL75:$AU75),2)-(SUM($H75:N75)-SUM($AL75:AR75)),2)))</f>
        <v>0.0</v>
      </c>
      <c r="P75" s="31">
        <f>AT75+MIN(Z74+AJ75-AT75,MAX(0,ROUND(ROUND(Долги!$D$19-SUM($AL75:$AU75),2)-(SUM($H75:O75)-SUM($AL75:AS75)),2)))</f>
        <v>0.0</v>
      </c>
      <c r="Q75" s="31">
        <f>AU75+MIN(AA74+AK75-AU75,MAX(0,ROUND(ROUND(Долги!$D$19-SUM($AL75:$AU75),2)-(SUM($H75:P75)-SUM($AL75:AT75)),2)))</f>
        <v>0.0</v>
      </c>
      <c r="R75" s="31">
        <f>IF(R74+AB75-H75&lt;=0.01,0,ROUND(R74+AB75-H75,2))</f>
        <v>0.0</v>
      </c>
      <c r="S75" s="31">
        <f>IF(S74+AC75-I75&lt;=0.01,0,ROUND(S74+AC75-I75,2))</f>
        <v>0.0</v>
      </c>
      <c r="T75" s="31">
        <f>IF(T74+AD75-J75&lt;=0.01,0,ROUND(T74+AD75-J75,2))</f>
        <v>0.0</v>
      </c>
      <c r="U75" s="31">
        <f>IF(U74+AE75-K75&lt;=0.01,0,ROUND(U74+AE75-K75,2))</f>
        <v>0.0</v>
      </c>
      <c r="V75" s="31">
        <f>IF(V74+AF75-L75&lt;=0.01,0,ROUND(V74+AF75-L75,2))</f>
        <v>0.0</v>
      </c>
      <c r="W75" s="31">
        <f>IF(W74+AG75-M75&lt;=0.01,0,ROUND(W74+AG75-M75,2))</f>
        <v>0.0</v>
      </c>
      <c r="X75" s="31">
        <f>IF(X74+AH75-N75&lt;=0.01,0,ROUND(X74+AH75-N75,2))</f>
        <v>0.0</v>
      </c>
      <c r="Y75" s="31">
        <f>IF(Y74+AI75-O75&lt;=0.01,0,ROUND(Y74+AI75-O75,2))</f>
        <v>0.0</v>
      </c>
      <c r="Z75" s="31">
        <f>IF(Z74+AJ75-P75&lt;=0.01,0,ROUND(Z74+AJ75-P75,2))</f>
        <v>0.0</v>
      </c>
      <c r="AA75" s="31">
        <f>IF(AA74+AK75-Q75&lt;=0.01,0,ROUND(AA74+AK75-Q75,2))</f>
        <v>0.0</v>
      </c>
      <c r="AB75" s="31">
        <f>ROUND(R74*AB$5/1200,2)</f>
        <v>0.0</v>
      </c>
      <c r="AC75" s="31">
        <f>ROUND(S74*AC$5/1200,2)</f>
        <v>0.0</v>
      </c>
      <c r="AD75" s="31">
        <f>ROUND(T74*AD$5/1200,2)</f>
        <v>0.0</v>
      </c>
      <c r="AE75" s="31">
        <f>ROUND(U74*AE$5/1200,2)</f>
        <v>0.0</v>
      </c>
      <c r="AF75" s="31">
        <f>ROUND(V74*AF$5/1200,2)</f>
        <v>0.0</v>
      </c>
      <c r="AG75" s="31">
        <f>ROUND(W74*AG$5/1200,2)</f>
        <v>0.0</v>
      </c>
      <c r="AH75" s="31">
        <f>ROUND(X74*AH$5/1200,2)</f>
        <v>0.0</v>
      </c>
      <c r="AI75" s="31">
        <f>ROUND(Y74*AI$5/1200,2)</f>
        <v>0.0</v>
      </c>
      <c r="AJ75" s="31">
        <f>ROUND(Z74*AJ$5/1200,2)</f>
        <v>0.0</v>
      </c>
      <c r="AK75" s="31">
        <f>ROUND(AA74*AK$5/1200,2)</f>
        <v>0.0</v>
      </c>
      <c r="AL75" s="31">
        <f>MIN(AL$5,R74+AB75)</f>
        <v>0.0</v>
      </c>
      <c r="AM75" s="31">
        <f>MIN(AM$5,S74+AC75)</f>
        <v>0.0</v>
      </c>
      <c r="AN75" s="31">
        <f>MIN(AN$5,T74+AD75)</f>
        <v>0.0</v>
      </c>
      <c r="AO75" s="31">
        <f>MIN(AO$5,U74+AE75)</f>
        <v>0.0</v>
      </c>
      <c r="AP75" s="31">
        <f>MIN(AP$5,V74+AF75)</f>
        <v>0.0</v>
      </c>
      <c r="AQ75" s="31">
        <f>MIN(AQ$5,W74+AG75)</f>
        <v>0.0</v>
      </c>
      <c r="AR75" s="31">
        <f>MIN(AR$5,X74+AH75)</f>
        <v>0.0</v>
      </c>
      <c r="AS75" s="31">
        <f>MIN(AS$5,Y74+AI75)</f>
        <v>0.0</v>
      </c>
      <c r="AT75" s="31">
        <f>MIN(AT$5,Z74+AJ75)</f>
        <v>0.0</v>
      </c>
      <c r="AU75" s="31">
        <f>MIN(AU$5,AA74+AK75)</f>
        <v>0.0</v>
      </c>
    </row>
    <row r="76">
      <c r="A76" s="25" t="str">
        <f>IF(F75&gt;0.005,71,"")</f>
        <v/>
      </c>
      <c r="B76" s="33" t="str">
        <f>IF(A76="","",EDATE(Долги!$D$5,70))</f>
        <v/>
      </c>
      <c r="C76" s="31">
        <f>SUM(H76:Q76)</f>
        <v>0.0</v>
      </c>
      <c r="D76" s="31">
        <f>SUM(AB76:AK76)</f>
        <v>0.0</v>
      </c>
      <c r="E76" s="31">
        <f>C76-D76</f>
        <v>0.0</v>
      </c>
      <c r="F76" s="31">
        <f>SUM(R76:AA76)</f>
        <v>0.0</v>
      </c>
      <c r="G76" s="34" t="str">
        <f>IF(OR(A76="",$F$5&lt;=0),"",REPT("█",ROUND(20*F76/$F$5,0)))</f>
        <v/>
      </c>
      <c r="H76" s="31">
        <f>AL76+MIN(R75+AB76-AL76,MAX(0,ROUND(Долги!$D$19-SUM($AL76:$AU76),2)))</f>
        <v>0.0</v>
      </c>
      <c r="I76" s="31">
        <f>AM76+MIN(S75+AC76-AM76,MAX(0,ROUND(ROUND(Долги!$D$19-SUM($AL76:$AU76),2)-(SUM($H76:H76)-SUM($AL76:AL76)),2)))</f>
        <v>0.0</v>
      </c>
      <c r="J76" s="31">
        <f>AN76+MIN(T75+AD76-AN76,MAX(0,ROUND(ROUND(Долги!$D$19-SUM($AL76:$AU76),2)-(SUM($H76:I76)-SUM($AL76:AM76)),2)))</f>
        <v>0.0</v>
      </c>
      <c r="K76" s="31">
        <f>AO76+MIN(U75+AE76-AO76,MAX(0,ROUND(ROUND(Долги!$D$19-SUM($AL76:$AU76),2)-(SUM($H76:J76)-SUM($AL76:AN76)),2)))</f>
        <v>0.0</v>
      </c>
      <c r="L76" s="31">
        <f>AP76+MIN(V75+AF76-AP76,MAX(0,ROUND(ROUND(Долги!$D$19-SUM($AL76:$AU76),2)-(SUM($H76:K76)-SUM($AL76:AO76)),2)))</f>
        <v>0.0</v>
      </c>
      <c r="M76" s="31">
        <f>AQ76+MIN(W75+AG76-AQ76,MAX(0,ROUND(ROUND(Долги!$D$19-SUM($AL76:$AU76),2)-(SUM($H76:L76)-SUM($AL76:AP76)),2)))</f>
        <v>0.0</v>
      </c>
      <c r="N76" s="31">
        <f>AR76+MIN(X75+AH76-AR76,MAX(0,ROUND(ROUND(Долги!$D$19-SUM($AL76:$AU76),2)-(SUM($H76:M76)-SUM($AL76:AQ76)),2)))</f>
        <v>0.0</v>
      </c>
      <c r="O76" s="31">
        <f>AS76+MIN(Y75+AI76-AS76,MAX(0,ROUND(ROUND(Долги!$D$19-SUM($AL76:$AU76),2)-(SUM($H76:N76)-SUM($AL76:AR76)),2)))</f>
        <v>0.0</v>
      </c>
      <c r="P76" s="31">
        <f>AT76+MIN(Z75+AJ76-AT76,MAX(0,ROUND(ROUND(Долги!$D$19-SUM($AL76:$AU76),2)-(SUM($H76:O76)-SUM($AL76:AS76)),2)))</f>
        <v>0.0</v>
      </c>
      <c r="Q76" s="31">
        <f>AU76+MIN(AA75+AK76-AU76,MAX(0,ROUND(ROUND(Долги!$D$19-SUM($AL76:$AU76),2)-(SUM($H76:P76)-SUM($AL76:AT76)),2)))</f>
        <v>0.0</v>
      </c>
      <c r="R76" s="31">
        <f>IF(R75+AB76-H76&lt;=0.01,0,ROUND(R75+AB76-H76,2))</f>
        <v>0.0</v>
      </c>
      <c r="S76" s="31">
        <f>IF(S75+AC76-I76&lt;=0.01,0,ROUND(S75+AC76-I76,2))</f>
        <v>0.0</v>
      </c>
      <c r="T76" s="31">
        <f>IF(T75+AD76-J76&lt;=0.01,0,ROUND(T75+AD76-J76,2))</f>
        <v>0.0</v>
      </c>
      <c r="U76" s="31">
        <f>IF(U75+AE76-K76&lt;=0.01,0,ROUND(U75+AE76-K76,2))</f>
        <v>0.0</v>
      </c>
      <c r="V76" s="31">
        <f>IF(V75+AF76-L76&lt;=0.01,0,ROUND(V75+AF76-L76,2))</f>
        <v>0.0</v>
      </c>
      <c r="W76" s="31">
        <f>IF(W75+AG76-M76&lt;=0.01,0,ROUND(W75+AG76-M76,2))</f>
        <v>0.0</v>
      </c>
      <c r="X76" s="31">
        <f>IF(X75+AH76-N76&lt;=0.01,0,ROUND(X75+AH76-N76,2))</f>
        <v>0.0</v>
      </c>
      <c r="Y76" s="31">
        <f>IF(Y75+AI76-O76&lt;=0.01,0,ROUND(Y75+AI76-O76,2))</f>
        <v>0.0</v>
      </c>
      <c r="Z76" s="31">
        <f>IF(Z75+AJ76-P76&lt;=0.01,0,ROUND(Z75+AJ76-P76,2))</f>
        <v>0.0</v>
      </c>
      <c r="AA76" s="31">
        <f>IF(AA75+AK76-Q76&lt;=0.01,0,ROUND(AA75+AK76-Q76,2))</f>
        <v>0.0</v>
      </c>
      <c r="AB76" s="31">
        <f>ROUND(R75*AB$5/1200,2)</f>
        <v>0.0</v>
      </c>
      <c r="AC76" s="31">
        <f>ROUND(S75*AC$5/1200,2)</f>
        <v>0.0</v>
      </c>
      <c r="AD76" s="31">
        <f>ROUND(T75*AD$5/1200,2)</f>
        <v>0.0</v>
      </c>
      <c r="AE76" s="31">
        <f>ROUND(U75*AE$5/1200,2)</f>
        <v>0.0</v>
      </c>
      <c r="AF76" s="31">
        <f>ROUND(V75*AF$5/1200,2)</f>
        <v>0.0</v>
      </c>
      <c r="AG76" s="31">
        <f>ROUND(W75*AG$5/1200,2)</f>
        <v>0.0</v>
      </c>
      <c r="AH76" s="31">
        <f>ROUND(X75*AH$5/1200,2)</f>
        <v>0.0</v>
      </c>
      <c r="AI76" s="31">
        <f>ROUND(Y75*AI$5/1200,2)</f>
        <v>0.0</v>
      </c>
      <c r="AJ76" s="31">
        <f>ROUND(Z75*AJ$5/1200,2)</f>
        <v>0.0</v>
      </c>
      <c r="AK76" s="31">
        <f>ROUND(AA75*AK$5/1200,2)</f>
        <v>0.0</v>
      </c>
      <c r="AL76" s="31">
        <f>MIN(AL$5,R75+AB76)</f>
        <v>0.0</v>
      </c>
      <c r="AM76" s="31">
        <f>MIN(AM$5,S75+AC76)</f>
        <v>0.0</v>
      </c>
      <c r="AN76" s="31">
        <f>MIN(AN$5,T75+AD76)</f>
        <v>0.0</v>
      </c>
      <c r="AO76" s="31">
        <f>MIN(AO$5,U75+AE76)</f>
        <v>0.0</v>
      </c>
      <c r="AP76" s="31">
        <f>MIN(AP$5,V75+AF76)</f>
        <v>0.0</v>
      </c>
      <c r="AQ76" s="31">
        <f>MIN(AQ$5,W75+AG76)</f>
        <v>0.0</v>
      </c>
      <c r="AR76" s="31">
        <f>MIN(AR$5,X75+AH76)</f>
        <v>0.0</v>
      </c>
      <c r="AS76" s="31">
        <f>MIN(AS$5,Y75+AI76)</f>
        <v>0.0</v>
      </c>
      <c r="AT76" s="31">
        <f>MIN(AT$5,Z75+AJ76)</f>
        <v>0.0</v>
      </c>
      <c r="AU76" s="31">
        <f>MIN(AU$5,AA75+AK76)</f>
        <v>0.0</v>
      </c>
    </row>
    <row r="77">
      <c r="A77" s="25" t="str">
        <f>IF(F76&gt;0.005,72,"")</f>
        <v/>
      </c>
      <c r="B77" s="33" t="str">
        <f>IF(A77="","",EDATE(Долги!$D$5,71))</f>
        <v/>
      </c>
      <c r="C77" s="31">
        <f>SUM(H77:Q77)</f>
        <v>0.0</v>
      </c>
      <c r="D77" s="31">
        <f>SUM(AB77:AK77)</f>
        <v>0.0</v>
      </c>
      <c r="E77" s="31">
        <f>C77-D77</f>
        <v>0.0</v>
      </c>
      <c r="F77" s="31">
        <f>SUM(R77:AA77)</f>
        <v>0.0</v>
      </c>
      <c r="G77" s="34" t="str">
        <f>IF(OR(A77="",$F$5&lt;=0),"",REPT("█",ROUND(20*F77/$F$5,0)))</f>
        <v/>
      </c>
      <c r="H77" s="31">
        <f>AL77+MIN(R76+AB77-AL77,MAX(0,ROUND(Долги!$D$19-SUM($AL77:$AU77),2)))</f>
        <v>0.0</v>
      </c>
      <c r="I77" s="31">
        <f>AM77+MIN(S76+AC77-AM77,MAX(0,ROUND(ROUND(Долги!$D$19-SUM($AL77:$AU77),2)-(SUM($H77:H77)-SUM($AL77:AL77)),2)))</f>
        <v>0.0</v>
      </c>
      <c r="J77" s="31">
        <f>AN77+MIN(T76+AD77-AN77,MAX(0,ROUND(ROUND(Долги!$D$19-SUM($AL77:$AU77),2)-(SUM($H77:I77)-SUM($AL77:AM77)),2)))</f>
        <v>0.0</v>
      </c>
      <c r="K77" s="31">
        <f>AO77+MIN(U76+AE77-AO77,MAX(0,ROUND(ROUND(Долги!$D$19-SUM($AL77:$AU77),2)-(SUM($H77:J77)-SUM($AL77:AN77)),2)))</f>
        <v>0.0</v>
      </c>
      <c r="L77" s="31">
        <f>AP77+MIN(V76+AF77-AP77,MAX(0,ROUND(ROUND(Долги!$D$19-SUM($AL77:$AU77),2)-(SUM($H77:K77)-SUM($AL77:AO77)),2)))</f>
        <v>0.0</v>
      </c>
      <c r="M77" s="31">
        <f>AQ77+MIN(W76+AG77-AQ77,MAX(0,ROUND(ROUND(Долги!$D$19-SUM($AL77:$AU77),2)-(SUM($H77:L77)-SUM($AL77:AP77)),2)))</f>
        <v>0.0</v>
      </c>
      <c r="N77" s="31">
        <f>AR77+MIN(X76+AH77-AR77,MAX(0,ROUND(ROUND(Долги!$D$19-SUM($AL77:$AU77),2)-(SUM($H77:M77)-SUM($AL77:AQ77)),2)))</f>
        <v>0.0</v>
      </c>
      <c r="O77" s="31">
        <f>AS77+MIN(Y76+AI77-AS77,MAX(0,ROUND(ROUND(Долги!$D$19-SUM($AL77:$AU77),2)-(SUM($H77:N77)-SUM($AL77:AR77)),2)))</f>
        <v>0.0</v>
      </c>
      <c r="P77" s="31">
        <f>AT77+MIN(Z76+AJ77-AT77,MAX(0,ROUND(ROUND(Долги!$D$19-SUM($AL77:$AU77),2)-(SUM($H77:O77)-SUM($AL77:AS77)),2)))</f>
        <v>0.0</v>
      </c>
      <c r="Q77" s="31">
        <f>AU77+MIN(AA76+AK77-AU77,MAX(0,ROUND(ROUND(Долги!$D$19-SUM($AL77:$AU77),2)-(SUM($H77:P77)-SUM($AL77:AT77)),2)))</f>
        <v>0.0</v>
      </c>
      <c r="R77" s="31">
        <f>IF(R76+AB77-H77&lt;=0.01,0,ROUND(R76+AB77-H77,2))</f>
        <v>0.0</v>
      </c>
      <c r="S77" s="31">
        <f>IF(S76+AC77-I77&lt;=0.01,0,ROUND(S76+AC77-I77,2))</f>
        <v>0.0</v>
      </c>
      <c r="T77" s="31">
        <f>IF(T76+AD77-J77&lt;=0.01,0,ROUND(T76+AD77-J77,2))</f>
        <v>0.0</v>
      </c>
      <c r="U77" s="31">
        <f>IF(U76+AE77-K77&lt;=0.01,0,ROUND(U76+AE77-K77,2))</f>
        <v>0.0</v>
      </c>
      <c r="V77" s="31">
        <f>IF(V76+AF77-L77&lt;=0.01,0,ROUND(V76+AF77-L77,2))</f>
        <v>0.0</v>
      </c>
      <c r="W77" s="31">
        <f>IF(W76+AG77-M77&lt;=0.01,0,ROUND(W76+AG77-M77,2))</f>
        <v>0.0</v>
      </c>
      <c r="X77" s="31">
        <f>IF(X76+AH77-N77&lt;=0.01,0,ROUND(X76+AH77-N77,2))</f>
        <v>0.0</v>
      </c>
      <c r="Y77" s="31">
        <f>IF(Y76+AI77-O77&lt;=0.01,0,ROUND(Y76+AI77-O77,2))</f>
        <v>0.0</v>
      </c>
      <c r="Z77" s="31">
        <f>IF(Z76+AJ77-P77&lt;=0.01,0,ROUND(Z76+AJ77-P77,2))</f>
        <v>0.0</v>
      </c>
      <c r="AA77" s="31">
        <f>IF(AA76+AK77-Q77&lt;=0.01,0,ROUND(AA76+AK77-Q77,2))</f>
        <v>0.0</v>
      </c>
      <c r="AB77" s="31">
        <f>ROUND(R76*AB$5/1200,2)</f>
        <v>0.0</v>
      </c>
      <c r="AC77" s="31">
        <f>ROUND(S76*AC$5/1200,2)</f>
        <v>0.0</v>
      </c>
      <c r="AD77" s="31">
        <f>ROUND(T76*AD$5/1200,2)</f>
        <v>0.0</v>
      </c>
      <c r="AE77" s="31">
        <f>ROUND(U76*AE$5/1200,2)</f>
        <v>0.0</v>
      </c>
      <c r="AF77" s="31">
        <f>ROUND(V76*AF$5/1200,2)</f>
        <v>0.0</v>
      </c>
      <c r="AG77" s="31">
        <f>ROUND(W76*AG$5/1200,2)</f>
        <v>0.0</v>
      </c>
      <c r="AH77" s="31">
        <f>ROUND(X76*AH$5/1200,2)</f>
        <v>0.0</v>
      </c>
      <c r="AI77" s="31">
        <f>ROUND(Y76*AI$5/1200,2)</f>
        <v>0.0</v>
      </c>
      <c r="AJ77" s="31">
        <f>ROUND(Z76*AJ$5/1200,2)</f>
        <v>0.0</v>
      </c>
      <c r="AK77" s="31">
        <f>ROUND(AA76*AK$5/1200,2)</f>
        <v>0.0</v>
      </c>
      <c r="AL77" s="31">
        <f>MIN(AL$5,R76+AB77)</f>
        <v>0.0</v>
      </c>
      <c r="AM77" s="31">
        <f>MIN(AM$5,S76+AC77)</f>
        <v>0.0</v>
      </c>
      <c r="AN77" s="31">
        <f>MIN(AN$5,T76+AD77)</f>
        <v>0.0</v>
      </c>
      <c r="AO77" s="31">
        <f>MIN(AO$5,U76+AE77)</f>
        <v>0.0</v>
      </c>
      <c r="AP77" s="31">
        <f>MIN(AP$5,V76+AF77)</f>
        <v>0.0</v>
      </c>
      <c r="AQ77" s="31">
        <f>MIN(AQ$5,W76+AG77)</f>
        <v>0.0</v>
      </c>
      <c r="AR77" s="31">
        <f>MIN(AR$5,X76+AH77)</f>
        <v>0.0</v>
      </c>
      <c r="AS77" s="31">
        <f>MIN(AS$5,Y76+AI77)</f>
        <v>0.0</v>
      </c>
      <c r="AT77" s="31">
        <f>MIN(AT$5,Z76+AJ77)</f>
        <v>0.0</v>
      </c>
      <c r="AU77" s="31">
        <f>MIN(AU$5,AA76+AK77)</f>
        <v>0.0</v>
      </c>
    </row>
    <row r="78">
      <c r="A78" s="25" t="str">
        <f>IF(F77&gt;0.005,73,"")</f>
        <v/>
      </c>
      <c r="B78" s="33" t="str">
        <f>IF(A78="","",EDATE(Долги!$D$5,72))</f>
        <v/>
      </c>
      <c r="C78" s="31">
        <f>SUM(H78:Q78)</f>
        <v>0.0</v>
      </c>
      <c r="D78" s="31">
        <f>SUM(AB78:AK78)</f>
        <v>0.0</v>
      </c>
      <c r="E78" s="31">
        <f>C78-D78</f>
        <v>0.0</v>
      </c>
      <c r="F78" s="31">
        <f>SUM(R78:AA78)</f>
        <v>0.0</v>
      </c>
      <c r="G78" s="34" t="str">
        <f>IF(OR(A78="",$F$5&lt;=0),"",REPT("█",ROUND(20*F78/$F$5,0)))</f>
        <v/>
      </c>
      <c r="H78" s="31">
        <f>AL78+MIN(R77+AB78-AL78,MAX(0,ROUND(Долги!$D$19-SUM($AL78:$AU78),2)))</f>
        <v>0.0</v>
      </c>
      <c r="I78" s="31">
        <f>AM78+MIN(S77+AC78-AM78,MAX(0,ROUND(ROUND(Долги!$D$19-SUM($AL78:$AU78),2)-(SUM($H78:H78)-SUM($AL78:AL78)),2)))</f>
        <v>0.0</v>
      </c>
      <c r="J78" s="31">
        <f>AN78+MIN(T77+AD78-AN78,MAX(0,ROUND(ROUND(Долги!$D$19-SUM($AL78:$AU78),2)-(SUM($H78:I78)-SUM($AL78:AM78)),2)))</f>
        <v>0.0</v>
      </c>
      <c r="K78" s="31">
        <f>AO78+MIN(U77+AE78-AO78,MAX(0,ROUND(ROUND(Долги!$D$19-SUM($AL78:$AU78),2)-(SUM($H78:J78)-SUM($AL78:AN78)),2)))</f>
        <v>0.0</v>
      </c>
      <c r="L78" s="31">
        <f>AP78+MIN(V77+AF78-AP78,MAX(0,ROUND(ROUND(Долги!$D$19-SUM($AL78:$AU78),2)-(SUM($H78:K78)-SUM($AL78:AO78)),2)))</f>
        <v>0.0</v>
      </c>
      <c r="M78" s="31">
        <f>AQ78+MIN(W77+AG78-AQ78,MAX(0,ROUND(ROUND(Долги!$D$19-SUM($AL78:$AU78),2)-(SUM($H78:L78)-SUM($AL78:AP78)),2)))</f>
        <v>0.0</v>
      </c>
      <c r="N78" s="31">
        <f>AR78+MIN(X77+AH78-AR78,MAX(0,ROUND(ROUND(Долги!$D$19-SUM($AL78:$AU78),2)-(SUM($H78:M78)-SUM($AL78:AQ78)),2)))</f>
        <v>0.0</v>
      </c>
      <c r="O78" s="31">
        <f>AS78+MIN(Y77+AI78-AS78,MAX(0,ROUND(ROUND(Долги!$D$19-SUM($AL78:$AU78),2)-(SUM($H78:N78)-SUM($AL78:AR78)),2)))</f>
        <v>0.0</v>
      </c>
      <c r="P78" s="31">
        <f>AT78+MIN(Z77+AJ78-AT78,MAX(0,ROUND(ROUND(Долги!$D$19-SUM($AL78:$AU78),2)-(SUM($H78:O78)-SUM($AL78:AS78)),2)))</f>
        <v>0.0</v>
      </c>
      <c r="Q78" s="31">
        <f>AU78+MIN(AA77+AK78-AU78,MAX(0,ROUND(ROUND(Долги!$D$19-SUM($AL78:$AU78),2)-(SUM($H78:P78)-SUM($AL78:AT78)),2)))</f>
        <v>0.0</v>
      </c>
      <c r="R78" s="31">
        <f>IF(R77+AB78-H78&lt;=0.01,0,ROUND(R77+AB78-H78,2))</f>
        <v>0.0</v>
      </c>
      <c r="S78" s="31">
        <f>IF(S77+AC78-I78&lt;=0.01,0,ROUND(S77+AC78-I78,2))</f>
        <v>0.0</v>
      </c>
      <c r="T78" s="31">
        <f>IF(T77+AD78-J78&lt;=0.01,0,ROUND(T77+AD78-J78,2))</f>
        <v>0.0</v>
      </c>
      <c r="U78" s="31">
        <f>IF(U77+AE78-K78&lt;=0.01,0,ROUND(U77+AE78-K78,2))</f>
        <v>0.0</v>
      </c>
      <c r="V78" s="31">
        <f>IF(V77+AF78-L78&lt;=0.01,0,ROUND(V77+AF78-L78,2))</f>
        <v>0.0</v>
      </c>
      <c r="W78" s="31">
        <f>IF(W77+AG78-M78&lt;=0.01,0,ROUND(W77+AG78-M78,2))</f>
        <v>0.0</v>
      </c>
      <c r="X78" s="31">
        <f>IF(X77+AH78-N78&lt;=0.01,0,ROUND(X77+AH78-N78,2))</f>
        <v>0.0</v>
      </c>
      <c r="Y78" s="31">
        <f>IF(Y77+AI78-O78&lt;=0.01,0,ROUND(Y77+AI78-O78,2))</f>
        <v>0.0</v>
      </c>
      <c r="Z78" s="31">
        <f>IF(Z77+AJ78-P78&lt;=0.01,0,ROUND(Z77+AJ78-P78,2))</f>
        <v>0.0</v>
      </c>
      <c r="AA78" s="31">
        <f>IF(AA77+AK78-Q78&lt;=0.01,0,ROUND(AA77+AK78-Q78,2))</f>
        <v>0.0</v>
      </c>
      <c r="AB78" s="31">
        <f>ROUND(R77*AB$5/1200,2)</f>
        <v>0.0</v>
      </c>
      <c r="AC78" s="31">
        <f>ROUND(S77*AC$5/1200,2)</f>
        <v>0.0</v>
      </c>
      <c r="AD78" s="31">
        <f>ROUND(T77*AD$5/1200,2)</f>
        <v>0.0</v>
      </c>
      <c r="AE78" s="31">
        <f>ROUND(U77*AE$5/1200,2)</f>
        <v>0.0</v>
      </c>
      <c r="AF78" s="31">
        <f>ROUND(V77*AF$5/1200,2)</f>
        <v>0.0</v>
      </c>
      <c r="AG78" s="31">
        <f>ROUND(W77*AG$5/1200,2)</f>
        <v>0.0</v>
      </c>
      <c r="AH78" s="31">
        <f>ROUND(X77*AH$5/1200,2)</f>
        <v>0.0</v>
      </c>
      <c r="AI78" s="31">
        <f>ROUND(Y77*AI$5/1200,2)</f>
        <v>0.0</v>
      </c>
      <c r="AJ78" s="31">
        <f>ROUND(Z77*AJ$5/1200,2)</f>
        <v>0.0</v>
      </c>
      <c r="AK78" s="31">
        <f>ROUND(AA77*AK$5/1200,2)</f>
        <v>0.0</v>
      </c>
      <c r="AL78" s="31">
        <f>MIN(AL$5,R77+AB78)</f>
        <v>0.0</v>
      </c>
      <c r="AM78" s="31">
        <f>MIN(AM$5,S77+AC78)</f>
        <v>0.0</v>
      </c>
      <c r="AN78" s="31">
        <f>MIN(AN$5,T77+AD78)</f>
        <v>0.0</v>
      </c>
      <c r="AO78" s="31">
        <f>MIN(AO$5,U77+AE78)</f>
        <v>0.0</v>
      </c>
      <c r="AP78" s="31">
        <f>MIN(AP$5,V77+AF78)</f>
        <v>0.0</v>
      </c>
      <c r="AQ78" s="31">
        <f>MIN(AQ$5,W77+AG78)</f>
        <v>0.0</v>
      </c>
      <c r="AR78" s="31">
        <f>MIN(AR$5,X77+AH78)</f>
        <v>0.0</v>
      </c>
      <c r="AS78" s="31">
        <f>MIN(AS$5,Y77+AI78)</f>
        <v>0.0</v>
      </c>
      <c r="AT78" s="31">
        <f>MIN(AT$5,Z77+AJ78)</f>
        <v>0.0</v>
      </c>
      <c r="AU78" s="31">
        <f>MIN(AU$5,AA77+AK78)</f>
        <v>0.0</v>
      </c>
    </row>
    <row r="79">
      <c r="A79" s="25" t="str">
        <f>IF(F78&gt;0.005,74,"")</f>
        <v/>
      </c>
      <c r="B79" s="33" t="str">
        <f>IF(A79="","",EDATE(Долги!$D$5,73))</f>
        <v/>
      </c>
      <c r="C79" s="31">
        <f>SUM(H79:Q79)</f>
        <v>0.0</v>
      </c>
      <c r="D79" s="31">
        <f>SUM(AB79:AK79)</f>
        <v>0.0</v>
      </c>
      <c r="E79" s="31">
        <f>C79-D79</f>
        <v>0.0</v>
      </c>
      <c r="F79" s="31">
        <f>SUM(R79:AA79)</f>
        <v>0.0</v>
      </c>
      <c r="G79" s="34" t="str">
        <f>IF(OR(A79="",$F$5&lt;=0),"",REPT("█",ROUND(20*F79/$F$5,0)))</f>
        <v/>
      </c>
      <c r="H79" s="31">
        <f>AL79+MIN(R78+AB79-AL79,MAX(0,ROUND(Долги!$D$19-SUM($AL79:$AU79),2)))</f>
        <v>0.0</v>
      </c>
      <c r="I79" s="31">
        <f>AM79+MIN(S78+AC79-AM79,MAX(0,ROUND(ROUND(Долги!$D$19-SUM($AL79:$AU79),2)-(SUM($H79:H79)-SUM($AL79:AL79)),2)))</f>
        <v>0.0</v>
      </c>
      <c r="J79" s="31">
        <f>AN79+MIN(T78+AD79-AN79,MAX(0,ROUND(ROUND(Долги!$D$19-SUM($AL79:$AU79),2)-(SUM($H79:I79)-SUM($AL79:AM79)),2)))</f>
        <v>0.0</v>
      </c>
      <c r="K79" s="31">
        <f>AO79+MIN(U78+AE79-AO79,MAX(0,ROUND(ROUND(Долги!$D$19-SUM($AL79:$AU79),2)-(SUM($H79:J79)-SUM($AL79:AN79)),2)))</f>
        <v>0.0</v>
      </c>
      <c r="L79" s="31">
        <f>AP79+MIN(V78+AF79-AP79,MAX(0,ROUND(ROUND(Долги!$D$19-SUM($AL79:$AU79),2)-(SUM($H79:K79)-SUM($AL79:AO79)),2)))</f>
        <v>0.0</v>
      </c>
      <c r="M79" s="31">
        <f>AQ79+MIN(W78+AG79-AQ79,MAX(0,ROUND(ROUND(Долги!$D$19-SUM($AL79:$AU79),2)-(SUM($H79:L79)-SUM($AL79:AP79)),2)))</f>
        <v>0.0</v>
      </c>
      <c r="N79" s="31">
        <f>AR79+MIN(X78+AH79-AR79,MAX(0,ROUND(ROUND(Долги!$D$19-SUM($AL79:$AU79),2)-(SUM($H79:M79)-SUM($AL79:AQ79)),2)))</f>
        <v>0.0</v>
      </c>
      <c r="O79" s="31">
        <f>AS79+MIN(Y78+AI79-AS79,MAX(0,ROUND(ROUND(Долги!$D$19-SUM($AL79:$AU79),2)-(SUM($H79:N79)-SUM($AL79:AR79)),2)))</f>
        <v>0.0</v>
      </c>
      <c r="P79" s="31">
        <f>AT79+MIN(Z78+AJ79-AT79,MAX(0,ROUND(ROUND(Долги!$D$19-SUM($AL79:$AU79),2)-(SUM($H79:O79)-SUM($AL79:AS79)),2)))</f>
        <v>0.0</v>
      </c>
      <c r="Q79" s="31">
        <f>AU79+MIN(AA78+AK79-AU79,MAX(0,ROUND(ROUND(Долги!$D$19-SUM($AL79:$AU79),2)-(SUM($H79:P79)-SUM($AL79:AT79)),2)))</f>
        <v>0.0</v>
      </c>
      <c r="R79" s="31">
        <f>IF(R78+AB79-H79&lt;=0.01,0,ROUND(R78+AB79-H79,2))</f>
        <v>0.0</v>
      </c>
      <c r="S79" s="31">
        <f>IF(S78+AC79-I79&lt;=0.01,0,ROUND(S78+AC79-I79,2))</f>
        <v>0.0</v>
      </c>
      <c r="T79" s="31">
        <f>IF(T78+AD79-J79&lt;=0.01,0,ROUND(T78+AD79-J79,2))</f>
        <v>0.0</v>
      </c>
      <c r="U79" s="31">
        <f>IF(U78+AE79-K79&lt;=0.01,0,ROUND(U78+AE79-K79,2))</f>
        <v>0.0</v>
      </c>
      <c r="V79" s="31">
        <f>IF(V78+AF79-L79&lt;=0.01,0,ROUND(V78+AF79-L79,2))</f>
        <v>0.0</v>
      </c>
      <c r="W79" s="31">
        <f>IF(W78+AG79-M79&lt;=0.01,0,ROUND(W78+AG79-M79,2))</f>
        <v>0.0</v>
      </c>
      <c r="X79" s="31">
        <f>IF(X78+AH79-N79&lt;=0.01,0,ROUND(X78+AH79-N79,2))</f>
        <v>0.0</v>
      </c>
      <c r="Y79" s="31">
        <f>IF(Y78+AI79-O79&lt;=0.01,0,ROUND(Y78+AI79-O79,2))</f>
        <v>0.0</v>
      </c>
      <c r="Z79" s="31">
        <f>IF(Z78+AJ79-P79&lt;=0.01,0,ROUND(Z78+AJ79-P79,2))</f>
        <v>0.0</v>
      </c>
      <c r="AA79" s="31">
        <f>IF(AA78+AK79-Q79&lt;=0.01,0,ROUND(AA78+AK79-Q79,2))</f>
        <v>0.0</v>
      </c>
      <c r="AB79" s="31">
        <f>ROUND(R78*AB$5/1200,2)</f>
        <v>0.0</v>
      </c>
      <c r="AC79" s="31">
        <f>ROUND(S78*AC$5/1200,2)</f>
        <v>0.0</v>
      </c>
      <c r="AD79" s="31">
        <f>ROUND(T78*AD$5/1200,2)</f>
        <v>0.0</v>
      </c>
      <c r="AE79" s="31">
        <f>ROUND(U78*AE$5/1200,2)</f>
        <v>0.0</v>
      </c>
      <c r="AF79" s="31">
        <f>ROUND(V78*AF$5/1200,2)</f>
        <v>0.0</v>
      </c>
      <c r="AG79" s="31">
        <f>ROUND(W78*AG$5/1200,2)</f>
        <v>0.0</v>
      </c>
      <c r="AH79" s="31">
        <f>ROUND(X78*AH$5/1200,2)</f>
        <v>0.0</v>
      </c>
      <c r="AI79" s="31">
        <f>ROUND(Y78*AI$5/1200,2)</f>
        <v>0.0</v>
      </c>
      <c r="AJ79" s="31">
        <f>ROUND(Z78*AJ$5/1200,2)</f>
        <v>0.0</v>
      </c>
      <c r="AK79" s="31">
        <f>ROUND(AA78*AK$5/1200,2)</f>
        <v>0.0</v>
      </c>
      <c r="AL79" s="31">
        <f>MIN(AL$5,R78+AB79)</f>
        <v>0.0</v>
      </c>
      <c r="AM79" s="31">
        <f>MIN(AM$5,S78+AC79)</f>
        <v>0.0</v>
      </c>
      <c r="AN79" s="31">
        <f>MIN(AN$5,T78+AD79)</f>
        <v>0.0</v>
      </c>
      <c r="AO79" s="31">
        <f>MIN(AO$5,U78+AE79)</f>
        <v>0.0</v>
      </c>
      <c r="AP79" s="31">
        <f>MIN(AP$5,V78+AF79)</f>
        <v>0.0</v>
      </c>
      <c r="AQ79" s="31">
        <f>MIN(AQ$5,W78+AG79)</f>
        <v>0.0</v>
      </c>
      <c r="AR79" s="31">
        <f>MIN(AR$5,X78+AH79)</f>
        <v>0.0</v>
      </c>
      <c r="AS79" s="31">
        <f>MIN(AS$5,Y78+AI79)</f>
        <v>0.0</v>
      </c>
      <c r="AT79" s="31">
        <f>MIN(AT$5,Z78+AJ79)</f>
        <v>0.0</v>
      </c>
      <c r="AU79" s="31">
        <f>MIN(AU$5,AA78+AK79)</f>
        <v>0.0</v>
      </c>
    </row>
    <row r="80">
      <c r="A80" s="25" t="str">
        <f>IF(F79&gt;0.005,75,"")</f>
        <v/>
      </c>
      <c r="B80" s="33" t="str">
        <f>IF(A80="","",EDATE(Долги!$D$5,74))</f>
        <v/>
      </c>
      <c r="C80" s="31">
        <f>SUM(H80:Q80)</f>
        <v>0.0</v>
      </c>
      <c r="D80" s="31">
        <f>SUM(AB80:AK80)</f>
        <v>0.0</v>
      </c>
      <c r="E80" s="31">
        <f>C80-D80</f>
        <v>0.0</v>
      </c>
      <c r="F80" s="31">
        <f>SUM(R80:AA80)</f>
        <v>0.0</v>
      </c>
      <c r="G80" s="34" t="str">
        <f>IF(OR(A80="",$F$5&lt;=0),"",REPT("█",ROUND(20*F80/$F$5,0)))</f>
        <v/>
      </c>
      <c r="H80" s="31">
        <f>AL80+MIN(R79+AB80-AL80,MAX(0,ROUND(Долги!$D$19-SUM($AL80:$AU80),2)))</f>
        <v>0.0</v>
      </c>
      <c r="I80" s="31">
        <f>AM80+MIN(S79+AC80-AM80,MAX(0,ROUND(ROUND(Долги!$D$19-SUM($AL80:$AU80),2)-(SUM($H80:H80)-SUM($AL80:AL80)),2)))</f>
        <v>0.0</v>
      </c>
      <c r="J80" s="31">
        <f>AN80+MIN(T79+AD80-AN80,MAX(0,ROUND(ROUND(Долги!$D$19-SUM($AL80:$AU80),2)-(SUM($H80:I80)-SUM($AL80:AM80)),2)))</f>
        <v>0.0</v>
      </c>
      <c r="K80" s="31">
        <f>AO80+MIN(U79+AE80-AO80,MAX(0,ROUND(ROUND(Долги!$D$19-SUM($AL80:$AU80),2)-(SUM($H80:J80)-SUM($AL80:AN80)),2)))</f>
        <v>0.0</v>
      </c>
      <c r="L80" s="31">
        <f>AP80+MIN(V79+AF80-AP80,MAX(0,ROUND(ROUND(Долги!$D$19-SUM($AL80:$AU80),2)-(SUM($H80:K80)-SUM($AL80:AO80)),2)))</f>
        <v>0.0</v>
      </c>
      <c r="M80" s="31">
        <f>AQ80+MIN(W79+AG80-AQ80,MAX(0,ROUND(ROUND(Долги!$D$19-SUM($AL80:$AU80),2)-(SUM($H80:L80)-SUM($AL80:AP80)),2)))</f>
        <v>0.0</v>
      </c>
      <c r="N80" s="31">
        <f>AR80+MIN(X79+AH80-AR80,MAX(0,ROUND(ROUND(Долги!$D$19-SUM($AL80:$AU80),2)-(SUM($H80:M80)-SUM($AL80:AQ80)),2)))</f>
        <v>0.0</v>
      </c>
      <c r="O80" s="31">
        <f>AS80+MIN(Y79+AI80-AS80,MAX(0,ROUND(ROUND(Долги!$D$19-SUM($AL80:$AU80),2)-(SUM($H80:N80)-SUM($AL80:AR80)),2)))</f>
        <v>0.0</v>
      </c>
      <c r="P80" s="31">
        <f>AT80+MIN(Z79+AJ80-AT80,MAX(0,ROUND(ROUND(Долги!$D$19-SUM($AL80:$AU80),2)-(SUM($H80:O80)-SUM($AL80:AS80)),2)))</f>
        <v>0.0</v>
      </c>
      <c r="Q80" s="31">
        <f>AU80+MIN(AA79+AK80-AU80,MAX(0,ROUND(ROUND(Долги!$D$19-SUM($AL80:$AU80),2)-(SUM($H80:P80)-SUM($AL80:AT80)),2)))</f>
        <v>0.0</v>
      </c>
      <c r="R80" s="31">
        <f>IF(R79+AB80-H80&lt;=0.01,0,ROUND(R79+AB80-H80,2))</f>
        <v>0.0</v>
      </c>
      <c r="S80" s="31">
        <f>IF(S79+AC80-I80&lt;=0.01,0,ROUND(S79+AC80-I80,2))</f>
        <v>0.0</v>
      </c>
      <c r="T80" s="31">
        <f>IF(T79+AD80-J80&lt;=0.01,0,ROUND(T79+AD80-J80,2))</f>
        <v>0.0</v>
      </c>
      <c r="U80" s="31">
        <f>IF(U79+AE80-K80&lt;=0.01,0,ROUND(U79+AE80-K80,2))</f>
        <v>0.0</v>
      </c>
      <c r="V80" s="31">
        <f>IF(V79+AF80-L80&lt;=0.01,0,ROUND(V79+AF80-L80,2))</f>
        <v>0.0</v>
      </c>
      <c r="W80" s="31">
        <f>IF(W79+AG80-M80&lt;=0.01,0,ROUND(W79+AG80-M80,2))</f>
        <v>0.0</v>
      </c>
      <c r="X80" s="31">
        <f>IF(X79+AH80-N80&lt;=0.01,0,ROUND(X79+AH80-N80,2))</f>
        <v>0.0</v>
      </c>
      <c r="Y80" s="31">
        <f>IF(Y79+AI80-O80&lt;=0.01,0,ROUND(Y79+AI80-O80,2))</f>
        <v>0.0</v>
      </c>
      <c r="Z80" s="31">
        <f>IF(Z79+AJ80-P80&lt;=0.01,0,ROUND(Z79+AJ80-P80,2))</f>
        <v>0.0</v>
      </c>
      <c r="AA80" s="31">
        <f>IF(AA79+AK80-Q80&lt;=0.01,0,ROUND(AA79+AK80-Q80,2))</f>
        <v>0.0</v>
      </c>
      <c r="AB80" s="31">
        <f>ROUND(R79*AB$5/1200,2)</f>
        <v>0.0</v>
      </c>
      <c r="AC80" s="31">
        <f>ROUND(S79*AC$5/1200,2)</f>
        <v>0.0</v>
      </c>
      <c r="AD80" s="31">
        <f>ROUND(T79*AD$5/1200,2)</f>
        <v>0.0</v>
      </c>
      <c r="AE80" s="31">
        <f>ROUND(U79*AE$5/1200,2)</f>
        <v>0.0</v>
      </c>
      <c r="AF80" s="31">
        <f>ROUND(V79*AF$5/1200,2)</f>
        <v>0.0</v>
      </c>
      <c r="AG80" s="31">
        <f>ROUND(W79*AG$5/1200,2)</f>
        <v>0.0</v>
      </c>
      <c r="AH80" s="31">
        <f>ROUND(X79*AH$5/1200,2)</f>
        <v>0.0</v>
      </c>
      <c r="AI80" s="31">
        <f>ROUND(Y79*AI$5/1200,2)</f>
        <v>0.0</v>
      </c>
      <c r="AJ80" s="31">
        <f>ROUND(Z79*AJ$5/1200,2)</f>
        <v>0.0</v>
      </c>
      <c r="AK80" s="31">
        <f>ROUND(AA79*AK$5/1200,2)</f>
        <v>0.0</v>
      </c>
      <c r="AL80" s="31">
        <f>MIN(AL$5,R79+AB80)</f>
        <v>0.0</v>
      </c>
      <c r="AM80" s="31">
        <f>MIN(AM$5,S79+AC80)</f>
        <v>0.0</v>
      </c>
      <c r="AN80" s="31">
        <f>MIN(AN$5,T79+AD80)</f>
        <v>0.0</v>
      </c>
      <c r="AO80" s="31">
        <f>MIN(AO$5,U79+AE80)</f>
        <v>0.0</v>
      </c>
      <c r="AP80" s="31">
        <f>MIN(AP$5,V79+AF80)</f>
        <v>0.0</v>
      </c>
      <c r="AQ80" s="31">
        <f>MIN(AQ$5,W79+AG80)</f>
        <v>0.0</v>
      </c>
      <c r="AR80" s="31">
        <f>MIN(AR$5,X79+AH80)</f>
        <v>0.0</v>
      </c>
      <c r="AS80" s="31">
        <f>MIN(AS$5,Y79+AI80)</f>
        <v>0.0</v>
      </c>
      <c r="AT80" s="31">
        <f>MIN(AT$5,Z79+AJ80)</f>
        <v>0.0</v>
      </c>
      <c r="AU80" s="31">
        <f>MIN(AU$5,AA79+AK80)</f>
        <v>0.0</v>
      </c>
    </row>
    <row r="81">
      <c r="A81" s="25" t="str">
        <f>IF(F80&gt;0.005,76,"")</f>
        <v/>
      </c>
      <c r="B81" s="33" t="str">
        <f>IF(A81="","",EDATE(Долги!$D$5,75))</f>
        <v/>
      </c>
      <c r="C81" s="31">
        <f>SUM(H81:Q81)</f>
        <v>0.0</v>
      </c>
      <c r="D81" s="31">
        <f>SUM(AB81:AK81)</f>
        <v>0.0</v>
      </c>
      <c r="E81" s="31">
        <f>C81-D81</f>
        <v>0.0</v>
      </c>
      <c r="F81" s="31">
        <f>SUM(R81:AA81)</f>
        <v>0.0</v>
      </c>
      <c r="G81" s="34" t="str">
        <f>IF(OR(A81="",$F$5&lt;=0),"",REPT("█",ROUND(20*F81/$F$5,0)))</f>
        <v/>
      </c>
      <c r="H81" s="31">
        <f>AL81+MIN(R80+AB81-AL81,MAX(0,ROUND(Долги!$D$19-SUM($AL81:$AU81),2)))</f>
        <v>0.0</v>
      </c>
      <c r="I81" s="31">
        <f>AM81+MIN(S80+AC81-AM81,MAX(0,ROUND(ROUND(Долги!$D$19-SUM($AL81:$AU81),2)-(SUM($H81:H81)-SUM($AL81:AL81)),2)))</f>
        <v>0.0</v>
      </c>
      <c r="J81" s="31">
        <f>AN81+MIN(T80+AD81-AN81,MAX(0,ROUND(ROUND(Долги!$D$19-SUM($AL81:$AU81),2)-(SUM($H81:I81)-SUM($AL81:AM81)),2)))</f>
        <v>0.0</v>
      </c>
      <c r="K81" s="31">
        <f>AO81+MIN(U80+AE81-AO81,MAX(0,ROUND(ROUND(Долги!$D$19-SUM($AL81:$AU81),2)-(SUM($H81:J81)-SUM($AL81:AN81)),2)))</f>
        <v>0.0</v>
      </c>
      <c r="L81" s="31">
        <f>AP81+MIN(V80+AF81-AP81,MAX(0,ROUND(ROUND(Долги!$D$19-SUM($AL81:$AU81),2)-(SUM($H81:K81)-SUM($AL81:AO81)),2)))</f>
        <v>0.0</v>
      </c>
      <c r="M81" s="31">
        <f>AQ81+MIN(W80+AG81-AQ81,MAX(0,ROUND(ROUND(Долги!$D$19-SUM($AL81:$AU81),2)-(SUM($H81:L81)-SUM($AL81:AP81)),2)))</f>
        <v>0.0</v>
      </c>
      <c r="N81" s="31">
        <f>AR81+MIN(X80+AH81-AR81,MAX(0,ROUND(ROUND(Долги!$D$19-SUM($AL81:$AU81),2)-(SUM($H81:M81)-SUM($AL81:AQ81)),2)))</f>
        <v>0.0</v>
      </c>
      <c r="O81" s="31">
        <f>AS81+MIN(Y80+AI81-AS81,MAX(0,ROUND(ROUND(Долги!$D$19-SUM($AL81:$AU81),2)-(SUM($H81:N81)-SUM($AL81:AR81)),2)))</f>
        <v>0.0</v>
      </c>
      <c r="P81" s="31">
        <f>AT81+MIN(Z80+AJ81-AT81,MAX(0,ROUND(ROUND(Долги!$D$19-SUM($AL81:$AU81),2)-(SUM($H81:O81)-SUM($AL81:AS81)),2)))</f>
        <v>0.0</v>
      </c>
      <c r="Q81" s="31">
        <f>AU81+MIN(AA80+AK81-AU81,MAX(0,ROUND(ROUND(Долги!$D$19-SUM($AL81:$AU81),2)-(SUM($H81:P81)-SUM($AL81:AT81)),2)))</f>
        <v>0.0</v>
      </c>
      <c r="R81" s="31">
        <f>IF(R80+AB81-H81&lt;=0.01,0,ROUND(R80+AB81-H81,2))</f>
        <v>0.0</v>
      </c>
      <c r="S81" s="31">
        <f>IF(S80+AC81-I81&lt;=0.01,0,ROUND(S80+AC81-I81,2))</f>
        <v>0.0</v>
      </c>
      <c r="T81" s="31">
        <f>IF(T80+AD81-J81&lt;=0.01,0,ROUND(T80+AD81-J81,2))</f>
        <v>0.0</v>
      </c>
      <c r="U81" s="31">
        <f>IF(U80+AE81-K81&lt;=0.01,0,ROUND(U80+AE81-K81,2))</f>
        <v>0.0</v>
      </c>
      <c r="V81" s="31">
        <f>IF(V80+AF81-L81&lt;=0.01,0,ROUND(V80+AF81-L81,2))</f>
        <v>0.0</v>
      </c>
      <c r="W81" s="31">
        <f>IF(W80+AG81-M81&lt;=0.01,0,ROUND(W80+AG81-M81,2))</f>
        <v>0.0</v>
      </c>
      <c r="X81" s="31">
        <f>IF(X80+AH81-N81&lt;=0.01,0,ROUND(X80+AH81-N81,2))</f>
        <v>0.0</v>
      </c>
      <c r="Y81" s="31">
        <f>IF(Y80+AI81-O81&lt;=0.01,0,ROUND(Y80+AI81-O81,2))</f>
        <v>0.0</v>
      </c>
      <c r="Z81" s="31">
        <f>IF(Z80+AJ81-P81&lt;=0.01,0,ROUND(Z80+AJ81-P81,2))</f>
        <v>0.0</v>
      </c>
      <c r="AA81" s="31">
        <f>IF(AA80+AK81-Q81&lt;=0.01,0,ROUND(AA80+AK81-Q81,2))</f>
        <v>0.0</v>
      </c>
      <c r="AB81" s="31">
        <f>ROUND(R80*AB$5/1200,2)</f>
        <v>0.0</v>
      </c>
      <c r="AC81" s="31">
        <f>ROUND(S80*AC$5/1200,2)</f>
        <v>0.0</v>
      </c>
      <c r="AD81" s="31">
        <f>ROUND(T80*AD$5/1200,2)</f>
        <v>0.0</v>
      </c>
      <c r="AE81" s="31">
        <f>ROUND(U80*AE$5/1200,2)</f>
        <v>0.0</v>
      </c>
      <c r="AF81" s="31">
        <f>ROUND(V80*AF$5/1200,2)</f>
        <v>0.0</v>
      </c>
      <c r="AG81" s="31">
        <f>ROUND(W80*AG$5/1200,2)</f>
        <v>0.0</v>
      </c>
      <c r="AH81" s="31">
        <f>ROUND(X80*AH$5/1200,2)</f>
        <v>0.0</v>
      </c>
      <c r="AI81" s="31">
        <f>ROUND(Y80*AI$5/1200,2)</f>
        <v>0.0</v>
      </c>
      <c r="AJ81" s="31">
        <f>ROUND(Z80*AJ$5/1200,2)</f>
        <v>0.0</v>
      </c>
      <c r="AK81" s="31">
        <f>ROUND(AA80*AK$5/1200,2)</f>
        <v>0.0</v>
      </c>
      <c r="AL81" s="31">
        <f>MIN(AL$5,R80+AB81)</f>
        <v>0.0</v>
      </c>
      <c r="AM81" s="31">
        <f>MIN(AM$5,S80+AC81)</f>
        <v>0.0</v>
      </c>
      <c r="AN81" s="31">
        <f>MIN(AN$5,T80+AD81)</f>
        <v>0.0</v>
      </c>
      <c r="AO81" s="31">
        <f>MIN(AO$5,U80+AE81)</f>
        <v>0.0</v>
      </c>
      <c r="AP81" s="31">
        <f>MIN(AP$5,V80+AF81)</f>
        <v>0.0</v>
      </c>
      <c r="AQ81" s="31">
        <f>MIN(AQ$5,W80+AG81)</f>
        <v>0.0</v>
      </c>
      <c r="AR81" s="31">
        <f>MIN(AR$5,X80+AH81)</f>
        <v>0.0</v>
      </c>
      <c r="AS81" s="31">
        <f>MIN(AS$5,Y80+AI81)</f>
        <v>0.0</v>
      </c>
      <c r="AT81" s="31">
        <f>MIN(AT$5,Z80+AJ81)</f>
        <v>0.0</v>
      </c>
      <c r="AU81" s="31">
        <f>MIN(AU$5,AA80+AK81)</f>
        <v>0.0</v>
      </c>
    </row>
    <row r="82">
      <c r="A82" s="25" t="str">
        <f>IF(F81&gt;0.005,77,"")</f>
        <v/>
      </c>
      <c r="B82" s="33" t="str">
        <f>IF(A82="","",EDATE(Долги!$D$5,76))</f>
        <v/>
      </c>
      <c r="C82" s="31">
        <f>SUM(H82:Q82)</f>
        <v>0.0</v>
      </c>
      <c r="D82" s="31">
        <f>SUM(AB82:AK82)</f>
        <v>0.0</v>
      </c>
      <c r="E82" s="31">
        <f>C82-D82</f>
        <v>0.0</v>
      </c>
      <c r="F82" s="31">
        <f>SUM(R82:AA82)</f>
        <v>0.0</v>
      </c>
      <c r="G82" s="34" t="str">
        <f>IF(OR(A82="",$F$5&lt;=0),"",REPT("█",ROUND(20*F82/$F$5,0)))</f>
        <v/>
      </c>
      <c r="H82" s="31">
        <f>AL82+MIN(R81+AB82-AL82,MAX(0,ROUND(Долги!$D$19-SUM($AL82:$AU82),2)))</f>
        <v>0.0</v>
      </c>
      <c r="I82" s="31">
        <f>AM82+MIN(S81+AC82-AM82,MAX(0,ROUND(ROUND(Долги!$D$19-SUM($AL82:$AU82),2)-(SUM($H82:H82)-SUM($AL82:AL82)),2)))</f>
        <v>0.0</v>
      </c>
      <c r="J82" s="31">
        <f>AN82+MIN(T81+AD82-AN82,MAX(0,ROUND(ROUND(Долги!$D$19-SUM($AL82:$AU82),2)-(SUM($H82:I82)-SUM($AL82:AM82)),2)))</f>
        <v>0.0</v>
      </c>
      <c r="K82" s="31">
        <f>AO82+MIN(U81+AE82-AO82,MAX(0,ROUND(ROUND(Долги!$D$19-SUM($AL82:$AU82),2)-(SUM($H82:J82)-SUM($AL82:AN82)),2)))</f>
        <v>0.0</v>
      </c>
      <c r="L82" s="31">
        <f>AP82+MIN(V81+AF82-AP82,MAX(0,ROUND(ROUND(Долги!$D$19-SUM($AL82:$AU82),2)-(SUM($H82:K82)-SUM($AL82:AO82)),2)))</f>
        <v>0.0</v>
      </c>
      <c r="M82" s="31">
        <f>AQ82+MIN(W81+AG82-AQ82,MAX(0,ROUND(ROUND(Долги!$D$19-SUM($AL82:$AU82),2)-(SUM($H82:L82)-SUM($AL82:AP82)),2)))</f>
        <v>0.0</v>
      </c>
      <c r="N82" s="31">
        <f>AR82+MIN(X81+AH82-AR82,MAX(0,ROUND(ROUND(Долги!$D$19-SUM($AL82:$AU82),2)-(SUM($H82:M82)-SUM($AL82:AQ82)),2)))</f>
        <v>0.0</v>
      </c>
      <c r="O82" s="31">
        <f>AS82+MIN(Y81+AI82-AS82,MAX(0,ROUND(ROUND(Долги!$D$19-SUM($AL82:$AU82),2)-(SUM($H82:N82)-SUM($AL82:AR82)),2)))</f>
        <v>0.0</v>
      </c>
      <c r="P82" s="31">
        <f>AT82+MIN(Z81+AJ82-AT82,MAX(0,ROUND(ROUND(Долги!$D$19-SUM($AL82:$AU82),2)-(SUM($H82:O82)-SUM($AL82:AS82)),2)))</f>
        <v>0.0</v>
      </c>
      <c r="Q82" s="31">
        <f>AU82+MIN(AA81+AK82-AU82,MAX(0,ROUND(ROUND(Долги!$D$19-SUM($AL82:$AU82),2)-(SUM($H82:P82)-SUM($AL82:AT82)),2)))</f>
        <v>0.0</v>
      </c>
      <c r="R82" s="31">
        <f>IF(R81+AB82-H82&lt;=0.01,0,ROUND(R81+AB82-H82,2))</f>
        <v>0.0</v>
      </c>
      <c r="S82" s="31">
        <f>IF(S81+AC82-I82&lt;=0.01,0,ROUND(S81+AC82-I82,2))</f>
        <v>0.0</v>
      </c>
      <c r="T82" s="31">
        <f>IF(T81+AD82-J82&lt;=0.01,0,ROUND(T81+AD82-J82,2))</f>
        <v>0.0</v>
      </c>
      <c r="U82" s="31">
        <f>IF(U81+AE82-K82&lt;=0.01,0,ROUND(U81+AE82-K82,2))</f>
        <v>0.0</v>
      </c>
      <c r="V82" s="31">
        <f>IF(V81+AF82-L82&lt;=0.01,0,ROUND(V81+AF82-L82,2))</f>
        <v>0.0</v>
      </c>
      <c r="W82" s="31">
        <f>IF(W81+AG82-M82&lt;=0.01,0,ROUND(W81+AG82-M82,2))</f>
        <v>0.0</v>
      </c>
      <c r="X82" s="31">
        <f>IF(X81+AH82-N82&lt;=0.01,0,ROUND(X81+AH82-N82,2))</f>
        <v>0.0</v>
      </c>
      <c r="Y82" s="31">
        <f>IF(Y81+AI82-O82&lt;=0.01,0,ROUND(Y81+AI82-O82,2))</f>
        <v>0.0</v>
      </c>
      <c r="Z82" s="31">
        <f>IF(Z81+AJ82-P82&lt;=0.01,0,ROUND(Z81+AJ82-P82,2))</f>
        <v>0.0</v>
      </c>
      <c r="AA82" s="31">
        <f>IF(AA81+AK82-Q82&lt;=0.01,0,ROUND(AA81+AK82-Q82,2))</f>
        <v>0.0</v>
      </c>
      <c r="AB82" s="31">
        <f>ROUND(R81*AB$5/1200,2)</f>
        <v>0.0</v>
      </c>
      <c r="AC82" s="31">
        <f>ROUND(S81*AC$5/1200,2)</f>
        <v>0.0</v>
      </c>
      <c r="AD82" s="31">
        <f>ROUND(T81*AD$5/1200,2)</f>
        <v>0.0</v>
      </c>
      <c r="AE82" s="31">
        <f>ROUND(U81*AE$5/1200,2)</f>
        <v>0.0</v>
      </c>
      <c r="AF82" s="31">
        <f>ROUND(V81*AF$5/1200,2)</f>
        <v>0.0</v>
      </c>
      <c r="AG82" s="31">
        <f>ROUND(W81*AG$5/1200,2)</f>
        <v>0.0</v>
      </c>
      <c r="AH82" s="31">
        <f>ROUND(X81*AH$5/1200,2)</f>
        <v>0.0</v>
      </c>
      <c r="AI82" s="31">
        <f>ROUND(Y81*AI$5/1200,2)</f>
        <v>0.0</v>
      </c>
      <c r="AJ82" s="31">
        <f>ROUND(Z81*AJ$5/1200,2)</f>
        <v>0.0</v>
      </c>
      <c r="AK82" s="31">
        <f>ROUND(AA81*AK$5/1200,2)</f>
        <v>0.0</v>
      </c>
      <c r="AL82" s="31">
        <f>MIN(AL$5,R81+AB82)</f>
        <v>0.0</v>
      </c>
      <c r="AM82" s="31">
        <f>MIN(AM$5,S81+AC82)</f>
        <v>0.0</v>
      </c>
      <c r="AN82" s="31">
        <f>MIN(AN$5,T81+AD82)</f>
        <v>0.0</v>
      </c>
      <c r="AO82" s="31">
        <f>MIN(AO$5,U81+AE82)</f>
        <v>0.0</v>
      </c>
      <c r="AP82" s="31">
        <f>MIN(AP$5,V81+AF82)</f>
        <v>0.0</v>
      </c>
      <c r="AQ82" s="31">
        <f>MIN(AQ$5,W81+AG82)</f>
        <v>0.0</v>
      </c>
      <c r="AR82" s="31">
        <f>MIN(AR$5,X81+AH82)</f>
        <v>0.0</v>
      </c>
      <c r="AS82" s="31">
        <f>MIN(AS$5,Y81+AI82)</f>
        <v>0.0</v>
      </c>
      <c r="AT82" s="31">
        <f>MIN(AT$5,Z81+AJ82)</f>
        <v>0.0</v>
      </c>
      <c r="AU82" s="31">
        <f>MIN(AU$5,AA81+AK82)</f>
        <v>0.0</v>
      </c>
    </row>
    <row r="83">
      <c r="A83" s="25" t="str">
        <f>IF(F82&gt;0.005,78,"")</f>
        <v/>
      </c>
      <c r="B83" s="33" t="str">
        <f>IF(A83="","",EDATE(Долги!$D$5,77))</f>
        <v/>
      </c>
      <c r="C83" s="31">
        <f>SUM(H83:Q83)</f>
        <v>0.0</v>
      </c>
      <c r="D83" s="31">
        <f>SUM(AB83:AK83)</f>
        <v>0.0</v>
      </c>
      <c r="E83" s="31">
        <f>C83-D83</f>
        <v>0.0</v>
      </c>
      <c r="F83" s="31">
        <f>SUM(R83:AA83)</f>
        <v>0.0</v>
      </c>
      <c r="G83" s="34" t="str">
        <f>IF(OR(A83="",$F$5&lt;=0),"",REPT("█",ROUND(20*F83/$F$5,0)))</f>
        <v/>
      </c>
      <c r="H83" s="31">
        <f>AL83+MIN(R82+AB83-AL83,MAX(0,ROUND(Долги!$D$19-SUM($AL83:$AU83),2)))</f>
        <v>0.0</v>
      </c>
      <c r="I83" s="31">
        <f>AM83+MIN(S82+AC83-AM83,MAX(0,ROUND(ROUND(Долги!$D$19-SUM($AL83:$AU83),2)-(SUM($H83:H83)-SUM($AL83:AL83)),2)))</f>
        <v>0.0</v>
      </c>
      <c r="J83" s="31">
        <f>AN83+MIN(T82+AD83-AN83,MAX(0,ROUND(ROUND(Долги!$D$19-SUM($AL83:$AU83),2)-(SUM($H83:I83)-SUM($AL83:AM83)),2)))</f>
        <v>0.0</v>
      </c>
      <c r="K83" s="31">
        <f>AO83+MIN(U82+AE83-AO83,MAX(0,ROUND(ROUND(Долги!$D$19-SUM($AL83:$AU83),2)-(SUM($H83:J83)-SUM($AL83:AN83)),2)))</f>
        <v>0.0</v>
      </c>
      <c r="L83" s="31">
        <f>AP83+MIN(V82+AF83-AP83,MAX(0,ROUND(ROUND(Долги!$D$19-SUM($AL83:$AU83),2)-(SUM($H83:K83)-SUM($AL83:AO83)),2)))</f>
        <v>0.0</v>
      </c>
      <c r="M83" s="31">
        <f>AQ83+MIN(W82+AG83-AQ83,MAX(0,ROUND(ROUND(Долги!$D$19-SUM($AL83:$AU83),2)-(SUM($H83:L83)-SUM($AL83:AP83)),2)))</f>
        <v>0.0</v>
      </c>
      <c r="N83" s="31">
        <f>AR83+MIN(X82+AH83-AR83,MAX(0,ROUND(ROUND(Долги!$D$19-SUM($AL83:$AU83),2)-(SUM($H83:M83)-SUM($AL83:AQ83)),2)))</f>
        <v>0.0</v>
      </c>
      <c r="O83" s="31">
        <f>AS83+MIN(Y82+AI83-AS83,MAX(0,ROUND(ROUND(Долги!$D$19-SUM($AL83:$AU83),2)-(SUM($H83:N83)-SUM($AL83:AR83)),2)))</f>
        <v>0.0</v>
      </c>
      <c r="P83" s="31">
        <f>AT83+MIN(Z82+AJ83-AT83,MAX(0,ROUND(ROUND(Долги!$D$19-SUM($AL83:$AU83),2)-(SUM($H83:O83)-SUM($AL83:AS83)),2)))</f>
        <v>0.0</v>
      </c>
      <c r="Q83" s="31">
        <f>AU83+MIN(AA82+AK83-AU83,MAX(0,ROUND(ROUND(Долги!$D$19-SUM($AL83:$AU83),2)-(SUM($H83:P83)-SUM($AL83:AT83)),2)))</f>
        <v>0.0</v>
      </c>
      <c r="R83" s="31">
        <f>IF(R82+AB83-H83&lt;=0.01,0,ROUND(R82+AB83-H83,2))</f>
        <v>0.0</v>
      </c>
      <c r="S83" s="31">
        <f>IF(S82+AC83-I83&lt;=0.01,0,ROUND(S82+AC83-I83,2))</f>
        <v>0.0</v>
      </c>
      <c r="T83" s="31">
        <f>IF(T82+AD83-J83&lt;=0.01,0,ROUND(T82+AD83-J83,2))</f>
        <v>0.0</v>
      </c>
      <c r="U83" s="31">
        <f>IF(U82+AE83-K83&lt;=0.01,0,ROUND(U82+AE83-K83,2))</f>
        <v>0.0</v>
      </c>
      <c r="V83" s="31">
        <f>IF(V82+AF83-L83&lt;=0.01,0,ROUND(V82+AF83-L83,2))</f>
        <v>0.0</v>
      </c>
      <c r="W83" s="31">
        <f>IF(W82+AG83-M83&lt;=0.01,0,ROUND(W82+AG83-M83,2))</f>
        <v>0.0</v>
      </c>
      <c r="X83" s="31">
        <f>IF(X82+AH83-N83&lt;=0.01,0,ROUND(X82+AH83-N83,2))</f>
        <v>0.0</v>
      </c>
      <c r="Y83" s="31">
        <f>IF(Y82+AI83-O83&lt;=0.01,0,ROUND(Y82+AI83-O83,2))</f>
        <v>0.0</v>
      </c>
      <c r="Z83" s="31">
        <f>IF(Z82+AJ83-P83&lt;=0.01,0,ROUND(Z82+AJ83-P83,2))</f>
        <v>0.0</v>
      </c>
      <c r="AA83" s="31">
        <f>IF(AA82+AK83-Q83&lt;=0.01,0,ROUND(AA82+AK83-Q83,2))</f>
        <v>0.0</v>
      </c>
      <c r="AB83" s="31">
        <f>ROUND(R82*AB$5/1200,2)</f>
        <v>0.0</v>
      </c>
      <c r="AC83" s="31">
        <f>ROUND(S82*AC$5/1200,2)</f>
        <v>0.0</v>
      </c>
      <c r="AD83" s="31">
        <f>ROUND(T82*AD$5/1200,2)</f>
        <v>0.0</v>
      </c>
      <c r="AE83" s="31">
        <f>ROUND(U82*AE$5/1200,2)</f>
        <v>0.0</v>
      </c>
      <c r="AF83" s="31">
        <f>ROUND(V82*AF$5/1200,2)</f>
        <v>0.0</v>
      </c>
      <c r="AG83" s="31">
        <f>ROUND(W82*AG$5/1200,2)</f>
        <v>0.0</v>
      </c>
      <c r="AH83" s="31">
        <f>ROUND(X82*AH$5/1200,2)</f>
        <v>0.0</v>
      </c>
      <c r="AI83" s="31">
        <f>ROUND(Y82*AI$5/1200,2)</f>
        <v>0.0</v>
      </c>
      <c r="AJ83" s="31">
        <f>ROUND(Z82*AJ$5/1200,2)</f>
        <v>0.0</v>
      </c>
      <c r="AK83" s="31">
        <f>ROUND(AA82*AK$5/1200,2)</f>
        <v>0.0</v>
      </c>
      <c r="AL83" s="31">
        <f>MIN(AL$5,R82+AB83)</f>
        <v>0.0</v>
      </c>
      <c r="AM83" s="31">
        <f>MIN(AM$5,S82+AC83)</f>
        <v>0.0</v>
      </c>
      <c r="AN83" s="31">
        <f>MIN(AN$5,T82+AD83)</f>
        <v>0.0</v>
      </c>
      <c r="AO83" s="31">
        <f>MIN(AO$5,U82+AE83)</f>
        <v>0.0</v>
      </c>
      <c r="AP83" s="31">
        <f>MIN(AP$5,V82+AF83)</f>
        <v>0.0</v>
      </c>
      <c r="AQ83" s="31">
        <f>MIN(AQ$5,W82+AG83)</f>
        <v>0.0</v>
      </c>
      <c r="AR83" s="31">
        <f>MIN(AR$5,X82+AH83)</f>
        <v>0.0</v>
      </c>
      <c r="AS83" s="31">
        <f>MIN(AS$5,Y82+AI83)</f>
        <v>0.0</v>
      </c>
      <c r="AT83" s="31">
        <f>MIN(AT$5,Z82+AJ83)</f>
        <v>0.0</v>
      </c>
      <c r="AU83" s="31">
        <f>MIN(AU$5,AA82+AK83)</f>
        <v>0.0</v>
      </c>
    </row>
    <row r="84">
      <c r="A84" s="25" t="str">
        <f>IF(F83&gt;0.005,79,"")</f>
        <v/>
      </c>
      <c r="B84" s="33" t="str">
        <f>IF(A84="","",EDATE(Долги!$D$5,78))</f>
        <v/>
      </c>
      <c r="C84" s="31">
        <f>SUM(H84:Q84)</f>
        <v>0.0</v>
      </c>
      <c r="D84" s="31">
        <f>SUM(AB84:AK84)</f>
        <v>0.0</v>
      </c>
      <c r="E84" s="31">
        <f>C84-D84</f>
        <v>0.0</v>
      </c>
      <c r="F84" s="31">
        <f>SUM(R84:AA84)</f>
        <v>0.0</v>
      </c>
      <c r="G84" s="34" t="str">
        <f>IF(OR(A84="",$F$5&lt;=0),"",REPT("█",ROUND(20*F84/$F$5,0)))</f>
        <v/>
      </c>
      <c r="H84" s="31">
        <f>AL84+MIN(R83+AB84-AL84,MAX(0,ROUND(Долги!$D$19-SUM($AL84:$AU84),2)))</f>
        <v>0.0</v>
      </c>
      <c r="I84" s="31">
        <f>AM84+MIN(S83+AC84-AM84,MAX(0,ROUND(ROUND(Долги!$D$19-SUM($AL84:$AU84),2)-(SUM($H84:H84)-SUM($AL84:AL84)),2)))</f>
        <v>0.0</v>
      </c>
      <c r="J84" s="31">
        <f>AN84+MIN(T83+AD84-AN84,MAX(0,ROUND(ROUND(Долги!$D$19-SUM($AL84:$AU84),2)-(SUM($H84:I84)-SUM($AL84:AM84)),2)))</f>
        <v>0.0</v>
      </c>
      <c r="K84" s="31">
        <f>AO84+MIN(U83+AE84-AO84,MAX(0,ROUND(ROUND(Долги!$D$19-SUM($AL84:$AU84),2)-(SUM($H84:J84)-SUM($AL84:AN84)),2)))</f>
        <v>0.0</v>
      </c>
      <c r="L84" s="31">
        <f>AP84+MIN(V83+AF84-AP84,MAX(0,ROUND(ROUND(Долги!$D$19-SUM($AL84:$AU84),2)-(SUM($H84:K84)-SUM($AL84:AO84)),2)))</f>
        <v>0.0</v>
      </c>
      <c r="M84" s="31">
        <f>AQ84+MIN(W83+AG84-AQ84,MAX(0,ROUND(ROUND(Долги!$D$19-SUM($AL84:$AU84),2)-(SUM($H84:L84)-SUM($AL84:AP84)),2)))</f>
        <v>0.0</v>
      </c>
      <c r="N84" s="31">
        <f>AR84+MIN(X83+AH84-AR84,MAX(0,ROUND(ROUND(Долги!$D$19-SUM($AL84:$AU84),2)-(SUM($H84:M84)-SUM($AL84:AQ84)),2)))</f>
        <v>0.0</v>
      </c>
      <c r="O84" s="31">
        <f>AS84+MIN(Y83+AI84-AS84,MAX(0,ROUND(ROUND(Долги!$D$19-SUM($AL84:$AU84),2)-(SUM($H84:N84)-SUM($AL84:AR84)),2)))</f>
        <v>0.0</v>
      </c>
      <c r="P84" s="31">
        <f>AT84+MIN(Z83+AJ84-AT84,MAX(0,ROUND(ROUND(Долги!$D$19-SUM($AL84:$AU84),2)-(SUM($H84:O84)-SUM($AL84:AS84)),2)))</f>
        <v>0.0</v>
      </c>
      <c r="Q84" s="31">
        <f>AU84+MIN(AA83+AK84-AU84,MAX(0,ROUND(ROUND(Долги!$D$19-SUM($AL84:$AU84),2)-(SUM($H84:P84)-SUM($AL84:AT84)),2)))</f>
        <v>0.0</v>
      </c>
      <c r="R84" s="31">
        <f>IF(R83+AB84-H84&lt;=0.01,0,ROUND(R83+AB84-H84,2))</f>
        <v>0.0</v>
      </c>
      <c r="S84" s="31">
        <f>IF(S83+AC84-I84&lt;=0.01,0,ROUND(S83+AC84-I84,2))</f>
        <v>0.0</v>
      </c>
      <c r="T84" s="31">
        <f>IF(T83+AD84-J84&lt;=0.01,0,ROUND(T83+AD84-J84,2))</f>
        <v>0.0</v>
      </c>
      <c r="U84" s="31">
        <f>IF(U83+AE84-K84&lt;=0.01,0,ROUND(U83+AE84-K84,2))</f>
        <v>0.0</v>
      </c>
      <c r="V84" s="31">
        <f>IF(V83+AF84-L84&lt;=0.01,0,ROUND(V83+AF84-L84,2))</f>
        <v>0.0</v>
      </c>
      <c r="W84" s="31">
        <f>IF(W83+AG84-M84&lt;=0.01,0,ROUND(W83+AG84-M84,2))</f>
        <v>0.0</v>
      </c>
      <c r="X84" s="31">
        <f>IF(X83+AH84-N84&lt;=0.01,0,ROUND(X83+AH84-N84,2))</f>
        <v>0.0</v>
      </c>
      <c r="Y84" s="31">
        <f>IF(Y83+AI84-O84&lt;=0.01,0,ROUND(Y83+AI84-O84,2))</f>
        <v>0.0</v>
      </c>
      <c r="Z84" s="31">
        <f>IF(Z83+AJ84-P84&lt;=0.01,0,ROUND(Z83+AJ84-P84,2))</f>
        <v>0.0</v>
      </c>
      <c r="AA84" s="31">
        <f>IF(AA83+AK84-Q84&lt;=0.01,0,ROUND(AA83+AK84-Q84,2))</f>
        <v>0.0</v>
      </c>
      <c r="AB84" s="31">
        <f>ROUND(R83*AB$5/1200,2)</f>
        <v>0.0</v>
      </c>
      <c r="AC84" s="31">
        <f>ROUND(S83*AC$5/1200,2)</f>
        <v>0.0</v>
      </c>
      <c r="AD84" s="31">
        <f>ROUND(T83*AD$5/1200,2)</f>
        <v>0.0</v>
      </c>
      <c r="AE84" s="31">
        <f>ROUND(U83*AE$5/1200,2)</f>
        <v>0.0</v>
      </c>
      <c r="AF84" s="31">
        <f>ROUND(V83*AF$5/1200,2)</f>
        <v>0.0</v>
      </c>
      <c r="AG84" s="31">
        <f>ROUND(W83*AG$5/1200,2)</f>
        <v>0.0</v>
      </c>
      <c r="AH84" s="31">
        <f>ROUND(X83*AH$5/1200,2)</f>
        <v>0.0</v>
      </c>
      <c r="AI84" s="31">
        <f>ROUND(Y83*AI$5/1200,2)</f>
        <v>0.0</v>
      </c>
      <c r="AJ84" s="31">
        <f>ROUND(Z83*AJ$5/1200,2)</f>
        <v>0.0</v>
      </c>
      <c r="AK84" s="31">
        <f>ROUND(AA83*AK$5/1200,2)</f>
        <v>0.0</v>
      </c>
      <c r="AL84" s="31">
        <f>MIN(AL$5,R83+AB84)</f>
        <v>0.0</v>
      </c>
      <c r="AM84" s="31">
        <f>MIN(AM$5,S83+AC84)</f>
        <v>0.0</v>
      </c>
      <c r="AN84" s="31">
        <f>MIN(AN$5,T83+AD84)</f>
        <v>0.0</v>
      </c>
      <c r="AO84" s="31">
        <f>MIN(AO$5,U83+AE84)</f>
        <v>0.0</v>
      </c>
      <c r="AP84" s="31">
        <f>MIN(AP$5,V83+AF84)</f>
        <v>0.0</v>
      </c>
      <c r="AQ84" s="31">
        <f>MIN(AQ$5,W83+AG84)</f>
        <v>0.0</v>
      </c>
      <c r="AR84" s="31">
        <f>MIN(AR$5,X83+AH84)</f>
        <v>0.0</v>
      </c>
      <c r="AS84" s="31">
        <f>MIN(AS$5,Y83+AI84)</f>
        <v>0.0</v>
      </c>
      <c r="AT84" s="31">
        <f>MIN(AT$5,Z83+AJ84)</f>
        <v>0.0</v>
      </c>
      <c r="AU84" s="31">
        <f>MIN(AU$5,AA83+AK84)</f>
        <v>0.0</v>
      </c>
    </row>
    <row r="85">
      <c r="A85" s="25" t="str">
        <f>IF(F84&gt;0.005,80,"")</f>
        <v/>
      </c>
      <c r="B85" s="33" t="str">
        <f>IF(A85="","",EDATE(Долги!$D$5,79))</f>
        <v/>
      </c>
      <c r="C85" s="31">
        <f>SUM(H85:Q85)</f>
        <v>0.0</v>
      </c>
      <c r="D85" s="31">
        <f>SUM(AB85:AK85)</f>
        <v>0.0</v>
      </c>
      <c r="E85" s="31">
        <f>C85-D85</f>
        <v>0.0</v>
      </c>
      <c r="F85" s="31">
        <f>SUM(R85:AA85)</f>
        <v>0.0</v>
      </c>
      <c r="G85" s="34" t="str">
        <f>IF(OR(A85="",$F$5&lt;=0),"",REPT("█",ROUND(20*F85/$F$5,0)))</f>
        <v/>
      </c>
      <c r="H85" s="31">
        <f>AL85+MIN(R84+AB85-AL85,MAX(0,ROUND(Долги!$D$19-SUM($AL85:$AU85),2)))</f>
        <v>0.0</v>
      </c>
      <c r="I85" s="31">
        <f>AM85+MIN(S84+AC85-AM85,MAX(0,ROUND(ROUND(Долги!$D$19-SUM($AL85:$AU85),2)-(SUM($H85:H85)-SUM($AL85:AL85)),2)))</f>
        <v>0.0</v>
      </c>
      <c r="J85" s="31">
        <f>AN85+MIN(T84+AD85-AN85,MAX(0,ROUND(ROUND(Долги!$D$19-SUM($AL85:$AU85),2)-(SUM($H85:I85)-SUM($AL85:AM85)),2)))</f>
        <v>0.0</v>
      </c>
      <c r="K85" s="31">
        <f>AO85+MIN(U84+AE85-AO85,MAX(0,ROUND(ROUND(Долги!$D$19-SUM($AL85:$AU85),2)-(SUM($H85:J85)-SUM($AL85:AN85)),2)))</f>
        <v>0.0</v>
      </c>
      <c r="L85" s="31">
        <f>AP85+MIN(V84+AF85-AP85,MAX(0,ROUND(ROUND(Долги!$D$19-SUM($AL85:$AU85),2)-(SUM($H85:K85)-SUM($AL85:AO85)),2)))</f>
        <v>0.0</v>
      </c>
      <c r="M85" s="31">
        <f>AQ85+MIN(W84+AG85-AQ85,MAX(0,ROUND(ROUND(Долги!$D$19-SUM($AL85:$AU85),2)-(SUM($H85:L85)-SUM($AL85:AP85)),2)))</f>
        <v>0.0</v>
      </c>
      <c r="N85" s="31">
        <f>AR85+MIN(X84+AH85-AR85,MAX(0,ROUND(ROUND(Долги!$D$19-SUM($AL85:$AU85),2)-(SUM($H85:M85)-SUM($AL85:AQ85)),2)))</f>
        <v>0.0</v>
      </c>
      <c r="O85" s="31">
        <f>AS85+MIN(Y84+AI85-AS85,MAX(0,ROUND(ROUND(Долги!$D$19-SUM($AL85:$AU85),2)-(SUM($H85:N85)-SUM($AL85:AR85)),2)))</f>
        <v>0.0</v>
      </c>
      <c r="P85" s="31">
        <f>AT85+MIN(Z84+AJ85-AT85,MAX(0,ROUND(ROUND(Долги!$D$19-SUM($AL85:$AU85),2)-(SUM($H85:O85)-SUM($AL85:AS85)),2)))</f>
        <v>0.0</v>
      </c>
      <c r="Q85" s="31">
        <f>AU85+MIN(AA84+AK85-AU85,MAX(0,ROUND(ROUND(Долги!$D$19-SUM($AL85:$AU85),2)-(SUM($H85:P85)-SUM($AL85:AT85)),2)))</f>
        <v>0.0</v>
      </c>
      <c r="R85" s="31">
        <f>IF(R84+AB85-H85&lt;=0.01,0,ROUND(R84+AB85-H85,2))</f>
        <v>0.0</v>
      </c>
      <c r="S85" s="31">
        <f>IF(S84+AC85-I85&lt;=0.01,0,ROUND(S84+AC85-I85,2))</f>
        <v>0.0</v>
      </c>
      <c r="T85" s="31">
        <f>IF(T84+AD85-J85&lt;=0.01,0,ROUND(T84+AD85-J85,2))</f>
        <v>0.0</v>
      </c>
      <c r="U85" s="31">
        <f>IF(U84+AE85-K85&lt;=0.01,0,ROUND(U84+AE85-K85,2))</f>
        <v>0.0</v>
      </c>
      <c r="V85" s="31">
        <f>IF(V84+AF85-L85&lt;=0.01,0,ROUND(V84+AF85-L85,2))</f>
        <v>0.0</v>
      </c>
      <c r="W85" s="31">
        <f>IF(W84+AG85-M85&lt;=0.01,0,ROUND(W84+AG85-M85,2))</f>
        <v>0.0</v>
      </c>
      <c r="X85" s="31">
        <f>IF(X84+AH85-N85&lt;=0.01,0,ROUND(X84+AH85-N85,2))</f>
        <v>0.0</v>
      </c>
      <c r="Y85" s="31">
        <f>IF(Y84+AI85-O85&lt;=0.01,0,ROUND(Y84+AI85-O85,2))</f>
        <v>0.0</v>
      </c>
      <c r="Z85" s="31">
        <f>IF(Z84+AJ85-P85&lt;=0.01,0,ROUND(Z84+AJ85-P85,2))</f>
        <v>0.0</v>
      </c>
      <c r="AA85" s="31">
        <f>IF(AA84+AK85-Q85&lt;=0.01,0,ROUND(AA84+AK85-Q85,2))</f>
        <v>0.0</v>
      </c>
      <c r="AB85" s="31">
        <f>ROUND(R84*AB$5/1200,2)</f>
        <v>0.0</v>
      </c>
      <c r="AC85" s="31">
        <f>ROUND(S84*AC$5/1200,2)</f>
        <v>0.0</v>
      </c>
      <c r="AD85" s="31">
        <f>ROUND(T84*AD$5/1200,2)</f>
        <v>0.0</v>
      </c>
      <c r="AE85" s="31">
        <f>ROUND(U84*AE$5/1200,2)</f>
        <v>0.0</v>
      </c>
      <c r="AF85" s="31">
        <f>ROUND(V84*AF$5/1200,2)</f>
        <v>0.0</v>
      </c>
      <c r="AG85" s="31">
        <f>ROUND(W84*AG$5/1200,2)</f>
        <v>0.0</v>
      </c>
      <c r="AH85" s="31">
        <f>ROUND(X84*AH$5/1200,2)</f>
        <v>0.0</v>
      </c>
      <c r="AI85" s="31">
        <f>ROUND(Y84*AI$5/1200,2)</f>
        <v>0.0</v>
      </c>
      <c r="AJ85" s="31">
        <f>ROUND(Z84*AJ$5/1200,2)</f>
        <v>0.0</v>
      </c>
      <c r="AK85" s="31">
        <f>ROUND(AA84*AK$5/1200,2)</f>
        <v>0.0</v>
      </c>
      <c r="AL85" s="31">
        <f>MIN(AL$5,R84+AB85)</f>
        <v>0.0</v>
      </c>
      <c r="AM85" s="31">
        <f>MIN(AM$5,S84+AC85)</f>
        <v>0.0</v>
      </c>
      <c r="AN85" s="31">
        <f>MIN(AN$5,T84+AD85)</f>
        <v>0.0</v>
      </c>
      <c r="AO85" s="31">
        <f>MIN(AO$5,U84+AE85)</f>
        <v>0.0</v>
      </c>
      <c r="AP85" s="31">
        <f>MIN(AP$5,V84+AF85)</f>
        <v>0.0</v>
      </c>
      <c r="AQ85" s="31">
        <f>MIN(AQ$5,W84+AG85)</f>
        <v>0.0</v>
      </c>
      <c r="AR85" s="31">
        <f>MIN(AR$5,X84+AH85)</f>
        <v>0.0</v>
      </c>
      <c r="AS85" s="31">
        <f>MIN(AS$5,Y84+AI85)</f>
        <v>0.0</v>
      </c>
      <c r="AT85" s="31">
        <f>MIN(AT$5,Z84+AJ85)</f>
        <v>0.0</v>
      </c>
      <c r="AU85" s="31">
        <f>MIN(AU$5,AA84+AK85)</f>
        <v>0.0</v>
      </c>
    </row>
    <row r="86">
      <c r="A86" s="25" t="str">
        <f>IF(F85&gt;0.005,81,"")</f>
        <v/>
      </c>
      <c r="B86" s="33" t="str">
        <f>IF(A86="","",EDATE(Долги!$D$5,80))</f>
        <v/>
      </c>
      <c r="C86" s="31">
        <f>SUM(H86:Q86)</f>
        <v>0.0</v>
      </c>
      <c r="D86" s="31">
        <f>SUM(AB86:AK86)</f>
        <v>0.0</v>
      </c>
      <c r="E86" s="31">
        <f>C86-D86</f>
        <v>0.0</v>
      </c>
      <c r="F86" s="31">
        <f>SUM(R86:AA86)</f>
        <v>0.0</v>
      </c>
      <c r="G86" s="34" t="str">
        <f>IF(OR(A86="",$F$5&lt;=0),"",REPT("█",ROUND(20*F86/$F$5,0)))</f>
        <v/>
      </c>
      <c r="H86" s="31">
        <f>AL86+MIN(R85+AB86-AL86,MAX(0,ROUND(Долги!$D$19-SUM($AL86:$AU86),2)))</f>
        <v>0.0</v>
      </c>
      <c r="I86" s="31">
        <f>AM86+MIN(S85+AC86-AM86,MAX(0,ROUND(ROUND(Долги!$D$19-SUM($AL86:$AU86),2)-(SUM($H86:H86)-SUM($AL86:AL86)),2)))</f>
        <v>0.0</v>
      </c>
      <c r="J86" s="31">
        <f>AN86+MIN(T85+AD86-AN86,MAX(0,ROUND(ROUND(Долги!$D$19-SUM($AL86:$AU86),2)-(SUM($H86:I86)-SUM($AL86:AM86)),2)))</f>
        <v>0.0</v>
      </c>
      <c r="K86" s="31">
        <f>AO86+MIN(U85+AE86-AO86,MAX(0,ROUND(ROUND(Долги!$D$19-SUM($AL86:$AU86),2)-(SUM($H86:J86)-SUM($AL86:AN86)),2)))</f>
        <v>0.0</v>
      </c>
      <c r="L86" s="31">
        <f>AP86+MIN(V85+AF86-AP86,MAX(0,ROUND(ROUND(Долги!$D$19-SUM($AL86:$AU86),2)-(SUM($H86:K86)-SUM($AL86:AO86)),2)))</f>
        <v>0.0</v>
      </c>
      <c r="M86" s="31">
        <f>AQ86+MIN(W85+AG86-AQ86,MAX(0,ROUND(ROUND(Долги!$D$19-SUM($AL86:$AU86),2)-(SUM($H86:L86)-SUM($AL86:AP86)),2)))</f>
        <v>0.0</v>
      </c>
      <c r="N86" s="31">
        <f>AR86+MIN(X85+AH86-AR86,MAX(0,ROUND(ROUND(Долги!$D$19-SUM($AL86:$AU86),2)-(SUM($H86:M86)-SUM($AL86:AQ86)),2)))</f>
        <v>0.0</v>
      </c>
      <c r="O86" s="31">
        <f>AS86+MIN(Y85+AI86-AS86,MAX(0,ROUND(ROUND(Долги!$D$19-SUM($AL86:$AU86),2)-(SUM($H86:N86)-SUM($AL86:AR86)),2)))</f>
        <v>0.0</v>
      </c>
      <c r="P86" s="31">
        <f>AT86+MIN(Z85+AJ86-AT86,MAX(0,ROUND(ROUND(Долги!$D$19-SUM($AL86:$AU86),2)-(SUM($H86:O86)-SUM($AL86:AS86)),2)))</f>
        <v>0.0</v>
      </c>
      <c r="Q86" s="31">
        <f>AU86+MIN(AA85+AK86-AU86,MAX(0,ROUND(ROUND(Долги!$D$19-SUM($AL86:$AU86),2)-(SUM($H86:P86)-SUM($AL86:AT86)),2)))</f>
        <v>0.0</v>
      </c>
      <c r="R86" s="31">
        <f>IF(R85+AB86-H86&lt;=0.01,0,ROUND(R85+AB86-H86,2))</f>
        <v>0.0</v>
      </c>
      <c r="S86" s="31">
        <f>IF(S85+AC86-I86&lt;=0.01,0,ROUND(S85+AC86-I86,2))</f>
        <v>0.0</v>
      </c>
      <c r="T86" s="31">
        <f>IF(T85+AD86-J86&lt;=0.01,0,ROUND(T85+AD86-J86,2))</f>
        <v>0.0</v>
      </c>
      <c r="U86" s="31">
        <f>IF(U85+AE86-K86&lt;=0.01,0,ROUND(U85+AE86-K86,2))</f>
        <v>0.0</v>
      </c>
      <c r="V86" s="31">
        <f>IF(V85+AF86-L86&lt;=0.01,0,ROUND(V85+AF86-L86,2))</f>
        <v>0.0</v>
      </c>
      <c r="W86" s="31">
        <f>IF(W85+AG86-M86&lt;=0.01,0,ROUND(W85+AG86-M86,2))</f>
        <v>0.0</v>
      </c>
      <c r="X86" s="31">
        <f>IF(X85+AH86-N86&lt;=0.01,0,ROUND(X85+AH86-N86,2))</f>
        <v>0.0</v>
      </c>
      <c r="Y86" s="31">
        <f>IF(Y85+AI86-O86&lt;=0.01,0,ROUND(Y85+AI86-O86,2))</f>
        <v>0.0</v>
      </c>
      <c r="Z86" s="31">
        <f>IF(Z85+AJ86-P86&lt;=0.01,0,ROUND(Z85+AJ86-P86,2))</f>
        <v>0.0</v>
      </c>
      <c r="AA86" s="31">
        <f>IF(AA85+AK86-Q86&lt;=0.01,0,ROUND(AA85+AK86-Q86,2))</f>
        <v>0.0</v>
      </c>
      <c r="AB86" s="31">
        <f>ROUND(R85*AB$5/1200,2)</f>
        <v>0.0</v>
      </c>
      <c r="AC86" s="31">
        <f>ROUND(S85*AC$5/1200,2)</f>
        <v>0.0</v>
      </c>
      <c r="AD86" s="31">
        <f>ROUND(T85*AD$5/1200,2)</f>
        <v>0.0</v>
      </c>
      <c r="AE86" s="31">
        <f>ROUND(U85*AE$5/1200,2)</f>
        <v>0.0</v>
      </c>
      <c r="AF86" s="31">
        <f>ROUND(V85*AF$5/1200,2)</f>
        <v>0.0</v>
      </c>
      <c r="AG86" s="31">
        <f>ROUND(W85*AG$5/1200,2)</f>
        <v>0.0</v>
      </c>
      <c r="AH86" s="31">
        <f>ROUND(X85*AH$5/1200,2)</f>
        <v>0.0</v>
      </c>
      <c r="AI86" s="31">
        <f>ROUND(Y85*AI$5/1200,2)</f>
        <v>0.0</v>
      </c>
      <c r="AJ86" s="31">
        <f>ROUND(Z85*AJ$5/1200,2)</f>
        <v>0.0</v>
      </c>
      <c r="AK86" s="31">
        <f>ROUND(AA85*AK$5/1200,2)</f>
        <v>0.0</v>
      </c>
      <c r="AL86" s="31">
        <f>MIN(AL$5,R85+AB86)</f>
        <v>0.0</v>
      </c>
      <c r="AM86" s="31">
        <f>MIN(AM$5,S85+AC86)</f>
        <v>0.0</v>
      </c>
      <c r="AN86" s="31">
        <f>MIN(AN$5,T85+AD86)</f>
        <v>0.0</v>
      </c>
      <c r="AO86" s="31">
        <f>MIN(AO$5,U85+AE86)</f>
        <v>0.0</v>
      </c>
      <c r="AP86" s="31">
        <f>MIN(AP$5,V85+AF86)</f>
        <v>0.0</v>
      </c>
      <c r="AQ86" s="31">
        <f>MIN(AQ$5,W85+AG86)</f>
        <v>0.0</v>
      </c>
      <c r="AR86" s="31">
        <f>MIN(AR$5,X85+AH86)</f>
        <v>0.0</v>
      </c>
      <c r="AS86" s="31">
        <f>MIN(AS$5,Y85+AI86)</f>
        <v>0.0</v>
      </c>
      <c r="AT86" s="31">
        <f>MIN(AT$5,Z85+AJ86)</f>
        <v>0.0</v>
      </c>
      <c r="AU86" s="31">
        <f>MIN(AU$5,AA85+AK86)</f>
        <v>0.0</v>
      </c>
    </row>
    <row r="87">
      <c r="A87" s="25" t="str">
        <f>IF(F86&gt;0.005,82,"")</f>
        <v/>
      </c>
      <c r="B87" s="33" t="str">
        <f>IF(A87="","",EDATE(Долги!$D$5,81))</f>
        <v/>
      </c>
      <c r="C87" s="31">
        <f>SUM(H87:Q87)</f>
        <v>0.0</v>
      </c>
      <c r="D87" s="31">
        <f>SUM(AB87:AK87)</f>
        <v>0.0</v>
      </c>
      <c r="E87" s="31">
        <f>C87-D87</f>
        <v>0.0</v>
      </c>
      <c r="F87" s="31">
        <f>SUM(R87:AA87)</f>
        <v>0.0</v>
      </c>
      <c r="G87" s="34" t="str">
        <f>IF(OR(A87="",$F$5&lt;=0),"",REPT("█",ROUND(20*F87/$F$5,0)))</f>
        <v/>
      </c>
      <c r="H87" s="31">
        <f>AL87+MIN(R86+AB87-AL87,MAX(0,ROUND(Долги!$D$19-SUM($AL87:$AU87),2)))</f>
        <v>0.0</v>
      </c>
      <c r="I87" s="31">
        <f>AM87+MIN(S86+AC87-AM87,MAX(0,ROUND(ROUND(Долги!$D$19-SUM($AL87:$AU87),2)-(SUM($H87:H87)-SUM($AL87:AL87)),2)))</f>
        <v>0.0</v>
      </c>
      <c r="J87" s="31">
        <f>AN87+MIN(T86+AD87-AN87,MAX(0,ROUND(ROUND(Долги!$D$19-SUM($AL87:$AU87),2)-(SUM($H87:I87)-SUM($AL87:AM87)),2)))</f>
        <v>0.0</v>
      </c>
      <c r="K87" s="31">
        <f>AO87+MIN(U86+AE87-AO87,MAX(0,ROUND(ROUND(Долги!$D$19-SUM($AL87:$AU87),2)-(SUM($H87:J87)-SUM($AL87:AN87)),2)))</f>
        <v>0.0</v>
      </c>
      <c r="L87" s="31">
        <f>AP87+MIN(V86+AF87-AP87,MAX(0,ROUND(ROUND(Долги!$D$19-SUM($AL87:$AU87),2)-(SUM($H87:K87)-SUM($AL87:AO87)),2)))</f>
        <v>0.0</v>
      </c>
      <c r="M87" s="31">
        <f>AQ87+MIN(W86+AG87-AQ87,MAX(0,ROUND(ROUND(Долги!$D$19-SUM($AL87:$AU87),2)-(SUM($H87:L87)-SUM($AL87:AP87)),2)))</f>
        <v>0.0</v>
      </c>
      <c r="N87" s="31">
        <f>AR87+MIN(X86+AH87-AR87,MAX(0,ROUND(ROUND(Долги!$D$19-SUM($AL87:$AU87),2)-(SUM($H87:M87)-SUM($AL87:AQ87)),2)))</f>
        <v>0.0</v>
      </c>
      <c r="O87" s="31">
        <f>AS87+MIN(Y86+AI87-AS87,MAX(0,ROUND(ROUND(Долги!$D$19-SUM($AL87:$AU87),2)-(SUM($H87:N87)-SUM($AL87:AR87)),2)))</f>
        <v>0.0</v>
      </c>
      <c r="P87" s="31">
        <f>AT87+MIN(Z86+AJ87-AT87,MAX(0,ROUND(ROUND(Долги!$D$19-SUM($AL87:$AU87),2)-(SUM($H87:O87)-SUM($AL87:AS87)),2)))</f>
        <v>0.0</v>
      </c>
      <c r="Q87" s="31">
        <f>AU87+MIN(AA86+AK87-AU87,MAX(0,ROUND(ROUND(Долги!$D$19-SUM($AL87:$AU87),2)-(SUM($H87:P87)-SUM($AL87:AT87)),2)))</f>
        <v>0.0</v>
      </c>
      <c r="R87" s="31">
        <f>IF(R86+AB87-H87&lt;=0.01,0,ROUND(R86+AB87-H87,2))</f>
        <v>0.0</v>
      </c>
      <c r="S87" s="31">
        <f>IF(S86+AC87-I87&lt;=0.01,0,ROUND(S86+AC87-I87,2))</f>
        <v>0.0</v>
      </c>
      <c r="T87" s="31">
        <f>IF(T86+AD87-J87&lt;=0.01,0,ROUND(T86+AD87-J87,2))</f>
        <v>0.0</v>
      </c>
      <c r="U87" s="31">
        <f>IF(U86+AE87-K87&lt;=0.01,0,ROUND(U86+AE87-K87,2))</f>
        <v>0.0</v>
      </c>
      <c r="V87" s="31">
        <f>IF(V86+AF87-L87&lt;=0.01,0,ROUND(V86+AF87-L87,2))</f>
        <v>0.0</v>
      </c>
      <c r="W87" s="31">
        <f>IF(W86+AG87-M87&lt;=0.01,0,ROUND(W86+AG87-M87,2))</f>
        <v>0.0</v>
      </c>
      <c r="X87" s="31">
        <f>IF(X86+AH87-N87&lt;=0.01,0,ROUND(X86+AH87-N87,2))</f>
        <v>0.0</v>
      </c>
      <c r="Y87" s="31">
        <f>IF(Y86+AI87-O87&lt;=0.01,0,ROUND(Y86+AI87-O87,2))</f>
        <v>0.0</v>
      </c>
      <c r="Z87" s="31">
        <f>IF(Z86+AJ87-P87&lt;=0.01,0,ROUND(Z86+AJ87-P87,2))</f>
        <v>0.0</v>
      </c>
      <c r="AA87" s="31">
        <f>IF(AA86+AK87-Q87&lt;=0.01,0,ROUND(AA86+AK87-Q87,2))</f>
        <v>0.0</v>
      </c>
      <c r="AB87" s="31">
        <f>ROUND(R86*AB$5/1200,2)</f>
        <v>0.0</v>
      </c>
      <c r="AC87" s="31">
        <f>ROUND(S86*AC$5/1200,2)</f>
        <v>0.0</v>
      </c>
      <c r="AD87" s="31">
        <f>ROUND(T86*AD$5/1200,2)</f>
        <v>0.0</v>
      </c>
      <c r="AE87" s="31">
        <f>ROUND(U86*AE$5/1200,2)</f>
        <v>0.0</v>
      </c>
      <c r="AF87" s="31">
        <f>ROUND(V86*AF$5/1200,2)</f>
        <v>0.0</v>
      </c>
      <c r="AG87" s="31">
        <f>ROUND(W86*AG$5/1200,2)</f>
        <v>0.0</v>
      </c>
      <c r="AH87" s="31">
        <f>ROUND(X86*AH$5/1200,2)</f>
        <v>0.0</v>
      </c>
      <c r="AI87" s="31">
        <f>ROUND(Y86*AI$5/1200,2)</f>
        <v>0.0</v>
      </c>
      <c r="AJ87" s="31">
        <f>ROUND(Z86*AJ$5/1200,2)</f>
        <v>0.0</v>
      </c>
      <c r="AK87" s="31">
        <f>ROUND(AA86*AK$5/1200,2)</f>
        <v>0.0</v>
      </c>
      <c r="AL87" s="31">
        <f>MIN(AL$5,R86+AB87)</f>
        <v>0.0</v>
      </c>
      <c r="AM87" s="31">
        <f>MIN(AM$5,S86+AC87)</f>
        <v>0.0</v>
      </c>
      <c r="AN87" s="31">
        <f>MIN(AN$5,T86+AD87)</f>
        <v>0.0</v>
      </c>
      <c r="AO87" s="31">
        <f>MIN(AO$5,U86+AE87)</f>
        <v>0.0</v>
      </c>
      <c r="AP87" s="31">
        <f>MIN(AP$5,V86+AF87)</f>
        <v>0.0</v>
      </c>
      <c r="AQ87" s="31">
        <f>MIN(AQ$5,W86+AG87)</f>
        <v>0.0</v>
      </c>
      <c r="AR87" s="31">
        <f>MIN(AR$5,X86+AH87)</f>
        <v>0.0</v>
      </c>
      <c r="AS87" s="31">
        <f>MIN(AS$5,Y86+AI87)</f>
        <v>0.0</v>
      </c>
      <c r="AT87" s="31">
        <f>MIN(AT$5,Z86+AJ87)</f>
        <v>0.0</v>
      </c>
      <c r="AU87" s="31">
        <f>MIN(AU$5,AA86+AK87)</f>
        <v>0.0</v>
      </c>
    </row>
    <row r="88">
      <c r="A88" s="25" t="str">
        <f>IF(F87&gt;0.005,83,"")</f>
        <v/>
      </c>
      <c r="B88" s="33" t="str">
        <f>IF(A88="","",EDATE(Долги!$D$5,82))</f>
        <v/>
      </c>
      <c r="C88" s="31">
        <f>SUM(H88:Q88)</f>
        <v>0.0</v>
      </c>
      <c r="D88" s="31">
        <f>SUM(AB88:AK88)</f>
        <v>0.0</v>
      </c>
      <c r="E88" s="31">
        <f>C88-D88</f>
        <v>0.0</v>
      </c>
      <c r="F88" s="31">
        <f>SUM(R88:AA88)</f>
        <v>0.0</v>
      </c>
      <c r="G88" s="34" t="str">
        <f>IF(OR(A88="",$F$5&lt;=0),"",REPT("█",ROUND(20*F88/$F$5,0)))</f>
        <v/>
      </c>
      <c r="H88" s="31">
        <f>AL88+MIN(R87+AB88-AL88,MAX(0,ROUND(Долги!$D$19-SUM($AL88:$AU88),2)))</f>
        <v>0.0</v>
      </c>
      <c r="I88" s="31">
        <f>AM88+MIN(S87+AC88-AM88,MAX(0,ROUND(ROUND(Долги!$D$19-SUM($AL88:$AU88),2)-(SUM($H88:H88)-SUM($AL88:AL88)),2)))</f>
        <v>0.0</v>
      </c>
      <c r="J88" s="31">
        <f>AN88+MIN(T87+AD88-AN88,MAX(0,ROUND(ROUND(Долги!$D$19-SUM($AL88:$AU88),2)-(SUM($H88:I88)-SUM($AL88:AM88)),2)))</f>
        <v>0.0</v>
      </c>
      <c r="K88" s="31">
        <f>AO88+MIN(U87+AE88-AO88,MAX(0,ROUND(ROUND(Долги!$D$19-SUM($AL88:$AU88),2)-(SUM($H88:J88)-SUM($AL88:AN88)),2)))</f>
        <v>0.0</v>
      </c>
      <c r="L88" s="31">
        <f>AP88+MIN(V87+AF88-AP88,MAX(0,ROUND(ROUND(Долги!$D$19-SUM($AL88:$AU88),2)-(SUM($H88:K88)-SUM($AL88:AO88)),2)))</f>
        <v>0.0</v>
      </c>
      <c r="M88" s="31">
        <f>AQ88+MIN(W87+AG88-AQ88,MAX(0,ROUND(ROUND(Долги!$D$19-SUM($AL88:$AU88),2)-(SUM($H88:L88)-SUM($AL88:AP88)),2)))</f>
        <v>0.0</v>
      </c>
      <c r="N88" s="31">
        <f>AR88+MIN(X87+AH88-AR88,MAX(0,ROUND(ROUND(Долги!$D$19-SUM($AL88:$AU88),2)-(SUM($H88:M88)-SUM($AL88:AQ88)),2)))</f>
        <v>0.0</v>
      </c>
      <c r="O88" s="31">
        <f>AS88+MIN(Y87+AI88-AS88,MAX(0,ROUND(ROUND(Долги!$D$19-SUM($AL88:$AU88),2)-(SUM($H88:N88)-SUM($AL88:AR88)),2)))</f>
        <v>0.0</v>
      </c>
      <c r="P88" s="31">
        <f>AT88+MIN(Z87+AJ88-AT88,MAX(0,ROUND(ROUND(Долги!$D$19-SUM($AL88:$AU88),2)-(SUM($H88:O88)-SUM($AL88:AS88)),2)))</f>
        <v>0.0</v>
      </c>
      <c r="Q88" s="31">
        <f>AU88+MIN(AA87+AK88-AU88,MAX(0,ROUND(ROUND(Долги!$D$19-SUM($AL88:$AU88),2)-(SUM($H88:P88)-SUM($AL88:AT88)),2)))</f>
        <v>0.0</v>
      </c>
      <c r="R88" s="31">
        <f>IF(R87+AB88-H88&lt;=0.01,0,ROUND(R87+AB88-H88,2))</f>
        <v>0.0</v>
      </c>
      <c r="S88" s="31">
        <f>IF(S87+AC88-I88&lt;=0.01,0,ROUND(S87+AC88-I88,2))</f>
        <v>0.0</v>
      </c>
      <c r="T88" s="31">
        <f>IF(T87+AD88-J88&lt;=0.01,0,ROUND(T87+AD88-J88,2))</f>
        <v>0.0</v>
      </c>
      <c r="U88" s="31">
        <f>IF(U87+AE88-K88&lt;=0.01,0,ROUND(U87+AE88-K88,2))</f>
        <v>0.0</v>
      </c>
      <c r="V88" s="31">
        <f>IF(V87+AF88-L88&lt;=0.01,0,ROUND(V87+AF88-L88,2))</f>
        <v>0.0</v>
      </c>
      <c r="W88" s="31">
        <f>IF(W87+AG88-M88&lt;=0.01,0,ROUND(W87+AG88-M88,2))</f>
        <v>0.0</v>
      </c>
      <c r="X88" s="31">
        <f>IF(X87+AH88-N88&lt;=0.01,0,ROUND(X87+AH88-N88,2))</f>
        <v>0.0</v>
      </c>
      <c r="Y88" s="31">
        <f>IF(Y87+AI88-O88&lt;=0.01,0,ROUND(Y87+AI88-O88,2))</f>
        <v>0.0</v>
      </c>
      <c r="Z88" s="31">
        <f>IF(Z87+AJ88-P88&lt;=0.01,0,ROUND(Z87+AJ88-P88,2))</f>
        <v>0.0</v>
      </c>
      <c r="AA88" s="31">
        <f>IF(AA87+AK88-Q88&lt;=0.01,0,ROUND(AA87+AK88-Q88,2))</f>
        <v>0.0</v>
      </c>
      <c r="AB88" s="31">
        <f>ROUND(R87*AB$5/1200,2)</f>
        <v>0.0</v>
      </c>
      <c r="AC88" s="31">
        <f>ROUND(S87*AC$5/1200,2)</f>
        <v>0.0</v>
      </c>
      <c r="AD88" s="31">
        <f>ROUND(T87*AD$5/1200,2)</f>
        <v>0.0</v>
      </c>
      <c r="AE88" s="31">
        <f>ROUND(U87*AE$5/1200,2)</f>
        <v>0.0</v>
      </c>
      <c r="AF88" s="31">
        <f>ROUND(V87*AF$5/1200,2)</f>
        <v>0.0</v>
      </c>
      <c r="AG88" s="31">
        <f>ROUND(W87*AG$5/1200,2)</f>
        <v>0.0</v>
      </c>
      <c r="AH88" s="31">
        <f>ROUND(X87*AH$5/1200,2)</f>
        <v>0.0</v>
      </c>
      <c r="AI88" s="31">
        <f>ROUND(Y87*AI$5/1200,2)</f>
        <v>0.0</v>
      </c>
      <c r="AJ88" s="31">
        <f>ROUND(Z87*AJ$5/1200,2)</f>
        <v>0.0</v>
      </c>
      <c r="AK88" s="31">
        <f>ROUND(AA87*AK$5/1200,2)</f>
        <v>0.0</v>
      </c>
      <c r="AL88" s="31">
        <f>MIN(AL$5,R87+AB88)</f>
        <v>0.0</v>
      </c>
      <c r="AM88" s="31">
        <f>MIN(AM$5,S87+AC88)</f>
        <v>0.0</v>
      </c>
      <c r="AN88" s="31">
        <f>MIN(AN$5,T87+AD88)</f>
        <v>0.0</v>
      </c>
      <c r="AO88" s="31">
        <f>MIN(AO$5,U87+AE88)</f>
        <v>0.0</v>
      </c>
      <c r="AP88" s="31">
        <f>MIN(AP$5,V87+AF88)</f>
        <v>0.0</v>
      </c>
      <c r="AQ88" s="31">
        <f>MIN(AQ$5,W87+AG88)</f>
        <v>0.0</v>
      </c>
      <c r="AR88" s="31">
        <f>MIN(AR$5,X87+AH88)</f>
        <v>0.0</v>
      </c>
      <c r="AS88" s="31">
        <f>MIN(AS$5,Y87+AI88)</f>
        <v>0.0</v>
      </c>
      <c r="AT88" s="31">
        <f>MIN(AT$5,Z87+AJ88)</f>
        <v>0.0</v>
      </c>
      <c r="AU88" s="31">
        <f>MIN(AU$5,AA87+AK88)</f>
        <v>0.0</v>
      </c>
    </row>
    <row r="89">
      <c r="A89" s="25" t="str">
        <f>IF(F88&gt;0.005,84,"")</f>
        <v/>
      </c>
      <c r="B89" s="33" t="str">
        <f>IF(A89="","",EDATE(Долги!$D$5,83))</f>
        <v/>
      </c>
      <c r="C89" s="31">
        <f>SUM(H89:Q89)</f>
        <v>0.0</v>
      </c>
      <c r="D89" s="31">
        <f>SUM(AB89:AK89)</f>
        <v>0.0</v>
      </c>
      <c r="E89" s="31">
        <f>C89-D89</f>
        <v>0.0</v>
      </c>
      <c r="F89" s="31">
        <f>SUM(R89:AA89)</f>
        <v>0.0</v>
      </c>
      <c r="G89" s="34" t="str">
        <f>IF(OR(A89="",$F$5&lt;=0),"",REPT("█",ROUND(20*F89/$F$5,0)))</f>
        <v/>
      </c>
      <c r="H89" s="31">
        <f>AL89+MIN(R88+AB89-AL89,MAX(0,ROUND(Долги!$D$19-SUM($AL89:$AU89),2)))</f>
        <v>0.0</v>
      </c>
      <c r="I89" s="31">
        <f>AM89+MIN(S88+AC89-AM89,MAX(0,ROUND(ROUND(Долги!$D$19-SUM($AL89:$AU89),2)-(SUM($H89:H89)-SUM($AL89:AL89)),2)))</f>
        <v>0.0</v>
      </c>
      <c r="J89" s="31">
        <f>AN89+MIN(T88+AD89-AN89,MAX(0,ROUND(ROUND(Долги!$D$19-SUM($AL89:$AU89),2)-(SUM($H89:I89)-SUM($AL89:AM89)),2)))</f>
        <v>0.0</v>
      </c>
      <c r="K89" s="31">
        <f>AO89+MIN(U88+AE89-AO89,MAX(0,ROUND(ROUND(Долги!$D$19-SUM($AL89:$AU89),2)-(SUM($H89:J89)-SUM($AL89:AN89)),2)))</f>
        <v>0.0</v>
      </c>
      <c r="L89" s="31">
        <f>AP89+MIN(V88+AF89-AP89,MAX(0,ROUND(ROUND(Долги!$D$19-SUM($AL89:$AU89),2)-(SUM($H89:K89)-SUM($AL89:AO89)),2)))</f>
        <v>0.0</v>
      </c>
      <c r="M89" s="31">
        <f>AQ89+MIN(W88+AG89-AQ89,MAX(0,ROUND(ROUND(Долги!$D$19-SUM($AL89:$AU89),2)-(SUM($H89:L89)-SUM($AL89:AP89)),2)))</f>
        <v>0.0</v>
      </c>
      <c r="N89" s="31">
        <f>AR89+MIN(X88+AH89-AR89,MAX(0,ROUND(ROUND(Долги!$D$19-SUM($AL89:$AU89),2)-(SUM($H89:M89)-SUM($AL89:AQ89)),2)))</f>
        <v>0.0</v>
      </c>
      <c r="O89" s="31">
        <f>AS89+MIN(Y88+AI89-AS89,MAX(0,ROUND(ROUND(Долги!$D$19-SUM($AL89:$AU89),2)-(SUM($H89:N89)-SUM($AL89:AR89)),2)))</f>
        <v>0.0</v>
      </c>
      <c r="P89" s="31">
        <f>AT89+MIN(Z88+AJ89-AT89,MAX(0,ROUND(ROUND(Долги!$D$19-SUM($AL89:$AU89),2)-(SUM($H89:O89)-SUM($AL89:AS89)),2)))</f>
        <v>0.0</v>
      </c>
      <c r="Q89" s="31">
        <f>AU89+MIN(AA88+AK89-AU89,MAX(0,ROUND(ROUND(Долги!$D$19-SUM($AL89:$AU89),2)-(SUM($H89:P89)-SUM($AL89:AT89)),2)))</f>
        <v>0.0</v>
      </c>
      <c r="R89" s="31">
        <f>IF(R88+AB89-H89&lt;=0.01,0,ROUND(R88+AB89-H89,2))</f>
        <v>0.0</v>
      </c>
      <c r="S89" s="31">
        <f>IF(S88+AC89-I89&lt;=0.01,0,ROUND(S88+AC89-I89,2))</f>
        <v>0.0</v>
      </c>
      <c r="T89" s="31">
        <f>IF(T88+AD89-J89&lt;=0.01,0,ROUND(T88+AD89-J89,2))</f>
        <v>0.0</v>
      </c>
      <c r="U89" s="31">
        <f>IF(U88+AE89-K89&lt;=0.01,0,ROUND(U88+AE89-K89,2))</f>
        <v>0.0</v>
      </c>
      <c r="V89" s="31">
        <f>IF(V88+AF89-L89&lt;=0.01,0,ROUND(V88+AF89-L89,2))</f>
        <v>0.0</v>
      </c>
      <c r="W89" s="31">
        <f>IF(W88+AG89-M89&lt;=0.01,0,ROUND(W88+AG89-M89,2))</f>
        <v>0.0</v>
      </c>
      <c r="X89" s="31">
        <f>IF(X88+AH89-N89&lt;=0.01,0,ROUND(X88+AH89-N89,2))</f>
        <v>0.0</v>
      </c>
      <c r="Y89" s="31">
        <f>IF(Y88+AI89-O89&lt;=0.01,0,ROUND(Y88+AI89-O89,2))</f>
        <v>0.0</v>
      </c>
      <c r="Z89" s="31">
        <f>IF(Z88+AJ89-P89&lt;=0.01,0,ROUND(Z88+AJ89-P89,2))</f>
        <v>0.0</v>
      </c>
      <c r="AA89" s="31">
        <f>IF(AA88+AK89-Q89&lt;=0.01,0,ROUND(AA88+AK89-Q89,2))</f>
        <v>0.0</v>
      </c>
      <c r="AB89" s="31">
        <f>ROUND(R88*AB$5/1200,2)</f>
        <v>0.0</v>
      </c>
      <c r="AC89" s="31">
        <f>ROUND(S88*AC$5/1200,2)</f>
        <v>0.0</v>
      </c>
      <c r="AD89" s="31">
        <f>ROUND(T88*AD$5/1200,2)</f>
        <v>0.0</v>
      </c>
      <c r="AE89" s="31">
        <f>ROUND(U88*AE$5/1200,2)</f>
        <v>0.0</v>
      </c>
      <c r="AF89" s="31">
        <f>ROUND(V88*AF$5/1200,2)</f>
        <v>0.0</v>
      </c>
      <c r="AG89" s="31">
        <f>ROUND(W88*AG$5/1200,2)</f>
        <v>0.0</v>
      </c>
      <c r="AH89" s="31">
        <f>ROUND(X88*AH$5/1200,2)</f>
        <v>0.0</v>
      </c>
      <c r="AI89" s="31">
        <f>ROUND(Y88*AI$5/1200,2)</f>
        <v>0.0</v>
      </c>
      <c r="AJ89" s="31">
        <f>ROUND(Z88*AJ$5/1200,2)</f>
        <v>0.0</v>
      </c>
      <c r="AK89" s="31">
        <f>ROUND(AA88*AK$5/1200,2)</f>
        <v>0.0</v>
      </c>
      <c r="AL89" s="31">
        <f>MIN(AL$5,R88+AB89)</f>
        <v>0.0</v>
      </c>
      <c r="AM89" s="31">
        <f>MIN(AM$5,S88+AC89)</f>
        <v>0.0</v>
      </c>
      <c r="AN89" s="31">
        <f>MIN(AN$5,T88+AD89)</f>
        <v>0.0</v>
      </c>
      <c r="AO89" s="31">
        <f>MIN(AO$5,U88+AE89)</f>
        <v>0.0</v>
      </c>
      <c r="AP89" s="31">
        <f>MIN(AP$5,V88+AF89)</f>
        <v>0.0</v>
      </c>
      <c r="AQ89" s="31">
        <f>MIN(AQ$5,W88+AG89)</f>
        <v>0.0</v>
      </c>
      <c r="AR89" s="31">
        <f>MIN(AR$5,X88+AH89)</f>
        <v>0.0</v>
      </c>
      <c r="AS89" s="31">
        <f>MIN(AS$5,Y88+AI89)</f>
        <v>0.0</v>
      </c>
      <c r="AT89" s="31">
        <f>MIN(AT$5,Z88+AJ89)</f>
        <v>0.0</v>
      </c>
      <c r="AU89" s="31">
        <f>MIN(AU$5,AA88+AK89)</f>
        <v>0.0</v>
      </c>
    </row>
    <row r="90">
      <c r="A90" s="25" t="str">
        <f>IF(F89&gt;0.005,85,"")</f>
        <v/>
      </c>
      <c r="B90" s="33" t="str">
        <f>IF(A90="","",EDATE(Долги!$D$5,84))</f>
        <v/>
      </c>
      <c r="C90" s="31">
        <f>SUM(H90:Q90)</f>
        <v>0.0</v>
      </c>
      <c r="D90" s="31">
        <f>SUM(AB90:AK90)</f>
        <v>0.0</v>
      </c>
      <c r="E90" s="31">
        <f>C90-D90</f>
        <v>0.0</v>
      </c>
      <c r="F90" s="31">
        <f>SUM(R90:AA90)</f>
        <v>0.0</v>
      </c>
      <c r="G90" s="34" t="str">
        <f>IF(OR(A90="",$F$5&lt;=0),"",REPT("█",ROUND(20*F90/$F$5,0)))</f>
        <v/>
      </c>
      <c r="H90" s="31">
        <f>AL90+MIN(R89+AB90-AL90,MAX(0,ROUND(Долги!$D$19-SUM($AL90:$AU90),2)))</f>
        <v>0.0</v>
      </c>
      <c r="I90" s="31">
        <f>AM90+MIN(S89+AC90-AM90,MAX(0,ROUND(ROUND(Долги!$D$19-SUM($AL90:$AU90),2)-(SUM($H90:H90)-SUM($AL90:AL90)),2)))</f>
        <v>0.0</v>
      </c>
      <c r="J90" s="31">
        <f>AN90+MIN(T89+AD90-AN90,MAX(0,ROUND(ROUND(Долги!$D$19-SUM($AL90:$AU90),2)-(SUM($H90:I90)-SUM($AL90:AM90)),2)))</f>
        <v>0.0</v>
      </c>
      <c r="K90" s="31">
        <f>AO90+MIN(U89+AE90-AO90,MAX(0,ROUND(ROUND(Долги!$D$19-SUM($AL90:$AU90),2)-(SUM($H90:J90)-SUM($AL90:AN90)),2)))</f>
        <v>0.0</v>
      </c>
      <c r="L90" s="31">
        <f>AP90+MIN(V89+AF90-AP90,MAX(0,ROUND(ROUND(Долги!$D$19-SUM($AL90:$AU90),2)-(SUM($H90:K90)-SUM($AL90:AO90)),2)))</f>
        <v>0.0</v>
      </c>
      <c r="M90" s="31">
        <f>AQ90+MIN(W89+AG90-AQ90,MAX(0,ROUND(ROUND(Долги!$D$19-SUM($AL90:$AU90),2)-(SUM($H90:L90)-SUM($AL90:AP90)),2)))</f>
        <v>0.0</v>
      </c>
      <c r="N90" s="31">
        <f>AR90+MIN(X89+AH90-AR90,MAX(0,ROUND(ROUND(Долги!$D$19-SUM($AL90:$AU90),2)-(SUM($H90:M90)-SUM($AL90:AQ90)),2)))</f>
        <v>0.0</v>
      </c>
      <c r="O90" s="31">
        <f>AS90+MIN(Y89+AI90-AS90,MAX(0,ROUND(ROUND(Долги!$D$19-SUM($AL90:$AU90),2)-(SUM($H90:N90)-SUM($AL90:AR90)),2)))</f>
        <v>0.0</v>
      </c>
      <c r="P90" s="31">
        <f>AT90+MIN(Z89+AJ90-AT90,MAX(0,ROUND(ROUND(Долги!$D$19-SUM($AL90:$AU90),2)-(SUM($H90:O90)-SUM($AL90:AS90)),2)))</f>
        <v>0.0</v>
      </c>
      <c r="Q90" s="31">
        <f>AU90+MIN(AA89+AK90-AU90,MAX(0,ROUND(ROUND(Долги!$D$19-SUM($AL90:$AU90),2)-(SUM($H90:P90)-SUM($AL90:AT90)),2)))</f>
        <v>0.0</v>
      </c>
      <c r="R90" s="31">
        <f>IF(R89+AB90-H90&lt;=0.01,0,ROUND(R89+AB90-H90,2))</f>
        <v>0.0</v>
      </c>
      <c r="S90" s="31">
        <f>IF(S89+AC90-I90&lt;=0.01,0,ROUND(S89+AC90-I90,2))</f>
        <v>0.0</v>
      </c>
      <c r="T90" s="31">
        <f>IF(T89+AD90-J90&lt;=0.01,0,ROUND(T89+AD90-J90,2))</f>
        <v>0.0</v>
      </c>
      <c r="U90" s="31">
        <f>IF(U89+AE90-K90&lt;=0.01,0,ROUND(U89+AE90-K90,2))</f>
        <v>0.0</v>
      </c>
      <c r="V90" s="31">
        <f>IF(V89+AF90-L90&lt;=0.01,0,ROUND(V89+AF90-L90,2))</f>
        <v>0.0</v>
      </c>
      <c r="W90" s="31">
        <f>IF(W89+AG90-M90&lt;=0.01,0,ROUND(W89+AG90-M90,2))</f>
        <v>0.0</v>
      </c>
      <c r="X90" s="31">
        <f>IF(X89+AH90-N90&lt;=0.01,0,ROUND(X89+AH90-N90,2))</f>
        <v>0.0</v>
      </c>
      <c r="Y90" s="31">
        <f>IF(Y89+AI90-O90&lt;=0.01,0,ROUND(Y89+AI90-O90,2))</f>
        <v>0.0</v>
      </c>
      <c r="Z90" s="31">
        <f>IF(Z89+AJ90-P90&lt;=0.01,0,ROUND(Z89+AJ90-P90,2))</f>
        <v>0.0</v>
      </c>
      <c r="AA90" s="31">
        <f>IF(AA89+AK90-Q90&lt;=0.01,0,ROUND(AA89+AK90-Q90,2))</f>
        <v>0.0</v>
      </c>
      <c r="AB90" s="31">
        <f>ROUND(R89*AB$5/1200,2)</f>
        <v>0.0</v>
      </c>
      <c r="AC90" s="31">
        <f>ROUND(S89*AC$5/1200,2)</f>
        <v>0.0</v>
      </c>
      <c r="AD90" s="31">
        <f>ROUND(T89*AD$5/1200,2)</f>
        <v>0.0</v>
      </c>
      <c r="AE90" s="31">
        <f>ROUND(U89*AE$5/1200,2)</f>
        <v>0.0</v>
      </c>
      <c r="AF90" s="31">
        <f>ROUND(V89*AF$5/1200,2)</f>
        <v>0.0</v>
      </c>
      <c r="AG90" s="31">
        <f>ROUND(W89*AG$5/1200,2)</f>
        <v>0.0</v>
      </c>
      <c r="AH90" s="31">
        <f>ROUND(X89*AH$5/1200,2)</f>
        <v>0.0</v>
      </c>
      <c r="AI90" s="31">
        <f>ROUND(Y89*AI$5/1200,2)</f>
        <v>0.0</v>
      </c>
      <c r="AJ90" s="31">
        <f>ROUND(Z89*AJ$5/1200,2)</f>
        <v>0.0</v>
      </c>
      <c r="AK90" s="31">
        <f>ROUND(AA89*AK$5/1200,2)</f>
        <v>0.0</v>
      </c>
      <c r="AL90" s="31">
        <f>MIN(AL$5,R89+AB90)</f>
        <v>0.0</v>
      </c>
      <c r="AM90" s="31">
        <f>MIN(AM$5,S89+AC90)</f>
        <v>0.0</v>
      </c>
      <c r="AN90" s="31">
        <f>MIN(AN$5,T89+AD90)</f>
        <v>0.0</v>
      </c>
      <c r="AO90" s="31">
        <f>MIN(AO$5,U89+AE90)</f>
        <v>0.0</v>
      </c>
      <c r="AP90" s="31">
        <f>MIN(AP$5,V89+AF90)</f>
        <v>0.0</v>
      </c>
      <c r="AQ90" s="31">
        <f>MIN(AQ$5,W89+AG90)</f>
        <v>0.0</v>
      </c>
      <c r="AR90" s="31">
        <f>MIN(AR$5,X89+AH90)</f>
        <v>0.0</v>
      </c>
      <c r="AS90" s="31">
        <f>MIN(AS$5,Y89+AI90)</f>
        <v>0.0</v>
      </c>
      <c r="AT90" s="31">
        <f>MIN(AT$5,Z89+AJ90)</f>
        <v>0.0</v>
      </c>
      <c r="AU90" s="31">
        <f>MIN(AU$5,AA89+AK90)</f>
        <v>0.0</v>
      </c>
    </row>
    <row r="91">
      <c r="A91" s="25" t="str">
        <f>IF(F90&gt;0.005,86,"")</f>
        <v/>
      </c>
      <c r="B91" s="33" t="str">
        <f>IF(A91="","",EDATE(Долги!$D$5,85))</f>
        <v/>
      </c>
      <c r="C91" s="31">
        <f>SUM(H91:Q91)</f>
        <v>0.0</v>
      </c>
      <c r="D91" s="31">
        <f>SUM(AB91:AK91)</f>
        <v>0.0</v>
      </c>
      <c r="E91" s="31">
        <f>C91-D91</f>
        <v>0.0</v>
      </c>
      <c r="F91" s="31">
        <f>SUM(R91:AA91)</f>
        <v>0.0</v>
      </c>
      <c r="G91" s="34" t="str">
        <f>IF(OR(A91="",$F$5&lt;=0),"",REPT("█",ROUND(20*F91/$F$5,0)))</f>
        <v/>
      </c>
      <c r="H91" s="31">
        <f>AL91+MIN(R90+AB91-AL91,MAX(0,ROUND(Долги!$D$19-SUM($AL91:$AU91),2)))</f>
        <v>0.0</v>
      </c>
      <c r="I91" s="31">
        <f>AM91+MIN(S90+AC91-AM91,MAX(0,ROUND(ROUND(Долги!$D$19-SUM($AL91:$AU91),2)-(SUM($H91:H91)-SUM($AL91:AL91)),2)))</f>
        <v>0.0</v>
      </c>
      <c r="J91" s="31">
        <f>AN91+MIN(T90+AD91-AN91,MAX(0,ROUND(ROUND(Долги!$D$19-SUM($AL91:$AU91),2)-(SUM($H91:I91)-SUM($AL91:AM91)),2)))</f>
        <v>0.0</v>
      </c>
      <c r="K91" s="31">
        <f>AO91+MIN(U90+AE91-AO91,MAX(0,ROUND(ROUND(Долги!$D$19-SUM($AL91:$AU91),2)-(SUM($H91:J91)-SUM($AL91:AN91)),2)))</f>
        <v>0.0</v>
      </c>
      <c r="L91" s="31">
        <f>AP91+MIN(V90+AF91-AP91,MAX(0,ROUND(ROUND(Долги!$D$19-SUM($AL91:$AU91),2)-(SUM($H91:K91)-SUM($AL91:AO91)),2)))</f>
        <v>0.0</v>
      </c>
      <c r="M91" s="31">
        <f>AQ91+MIN(W90+AG91-AQ91,MAX(0,ROUND(ROUND(Долги!$D$19-SUM($AL91:$AU91),2)-(SUM($H91:L91)-SUM($AL91:AP91)),2)))</f>
        <v>0.0</v>
      </c>
      <c r="N91" s="31">
        <f>AR91+MIN(X90+AH91-AR91,MAX(0,ROUND(ROUND(Долги!$D$19-SUM($AL91:$AU91),2)-(SUM($H91:M91)-SUM($AL91:AQ91)),2)))</f>
        <v>0.0</v>
      </c>
      <c r="O91" s="31">
        <f>AS91+MIN(Y90+AI91-AS91,MAX(0,ROUND(ROUND(Долги!$D$19-SUM($AL91:$AU91),2)-(SUM($H91:N91)-SUM($AL91:AR91)),2)))</f>
        <v>0.0</v>
      </c>
      <c r="P91" s="31">
        <f>AT91+MIN(Z90+AJ91-AT91,MAX(0,ROUND(ROUND(Долги!$D$19-SUM($AL91:$AU91),2)-(SUM($H91:O91)-SUM($AL91:AS91)),2)))</f>
        <v>0.0</v>
      </c>
      <c r="Q91" s="31">
        <f>AU91+MIN(AA90+AK91-AU91,MAX(0,ROUND(ROUND(Долги!$D$19-SUM($AL91:$AU91),2)-(SUM($H91:P91)-SUM($AL91:AT91)),2)))</f>
        <v>0.0</v>
      </c>
      <c r="R91" s="31">
        <f>IF(R90+AB91-H91&lt;=0.01,0,ROUND(R90+AB91-H91,2))</f>
        <v>0.0</v>
      </c>
      <c r="S91" s="31">
        <f>IF(S90+AC91-I91&lt;=0.01,0,ROUND(S90+AC91-I91,2))</f>
        <v>0.0</v>
      </c>
      <c r="T91" s="31">
        <f>IF(T90+AD91-J91&lt;=0.01,0,ROUND(T90+AD91-J91,2))</f>
        <v>0.0</v>
      </c>
      <c r="U91" s="31">
        <f>IF(U90+AE91-K91&lt;=0.01,0,ROUND(U90+AE91-K91,2))</f>
        <v>0.0</v>
      </c>
      <c r="V91" s="31">
        <f>IF(V90+AF91-L91&lt;=0.01,0,ROUND(V90+AF91-L91,2))</f>
        <v>0.0</v>
      </c>
      <c r="W91" s="31">
        <f>IF(W90+AG91-M91&lt;=0.01,0,ROUND(W90+AG91-M91,2))</f>
        <v>0.0</v>
      </c>
      <c r="X91" s="31">
        <f>IF(X90+AH91-N91&lt;=0.01,0,ROUND(X90+AH91-N91,2))</f>
        <v>0.0</v>
      </c>
      <c r="Y91" s="31">
        <f>IF(Y90+AI91-O91&lt;=0.01,0,ROUND(Y90+AI91-O91,2))</f>
        <v>0.0</v>
      </c>
      <c r="Z91" s="31">
        <f>IF(Z90+AJ91-P91&lt;=0.01,0,ROUND(Z90+AJ91-P91,2))</f>
        <v>0.0</v>
      </c>
      <c r="AA91" s="31">
        <f>IF(AA90+AK91-Q91&lt;=0.01,0,ROUND(AA90+AK91-Q91,2))</f>
        <v>0.0</v>
      </c>
      <c r="AB91" s="31">
        <f>ROUND(R90*AB$5/1200,2)</f>
        <v>0.0</v>
      </c>
      <c r="AC91" s="31">
        <f>ROUND(S90*AC$5/1200,2)</f>
        <v>0.0</v>
      </c>
      <c r="AD91" s="31">
        <f>ROUND(T90*AD$5/1200,2)</f>
        <v>0.0</v>
      </c>
      <c r="AE91" s="31">
        <f>ROUND(U90*AE$5/1200,2)</f>
        <v>0.0</v>
      </c>
      <c r="AF91" s="31">
        <f>ROUND(V90*AF$5/1200,2)</f>
        <v>0.0</v>
      </c>
      <c r="AG91" s="31">
        <f>ROUND(W90*AG$5/1200,2)</f>
        <v>0.0</v>
      </c>
      <c r="AH91" s="31">
        <f>ROUND(X90*AH$5/1200,2)</f>
        <v>0.0</v>
      </c>
      <c r="AI91" s="31">
        <f>ROUND(Y90*AI$5/1200,2)</f>
        <v>0.0</v>
      </c>
      <c r="AJ91" s="31">
        <f>ROUND(Z90*AJ$5/1200,2)</f>
        <v>0.0</v>
      </c>
      <c r="AK91" s="31">
        <f>ROUND(AA90*AK$5/1200,2)</f>
        <v>0.0</v>
      </c>
      <c r="AL91" s="31">
        <f>MIN(AL$5,R90+AB91)</f>
        <v>0.0</v>
      </c>
      <c r="AM91" s="31">
        <f>MIN(AM$5,S90+AC91)</f>
        <v>0.0</v>
      </c>
      <c r="AN91" s="31">
        <f>MIN(AN$5,T90+AD91)</f>
        <v>0.0</v>
      </c>
      <c r="AO91" s="31">
        <f>MIN(AO$5,U90+AE91)</f>
        <v>0.0</v>
      </c>
      <c r="AP91" s="31">
        <f>MIN(AP$5,V90+AF91)</f>
        <v>0.0</v>
      </c>
      <c r="AQ91" s="31">
        <f>MIN(AQ$5,W90+AG91)</f>
        <v>0.0</v>
      </c>
      <c r="AR91" s="31">
        <f>MIN(AR$5,X90+AH91)</f>
        <v>0.0</v>
      </c>
      <c r="AS91" s="31">
        <f>MIN(AS$5,Y90+AI91)</f>
        <v>0.0</v>
      </c>
      <c r="AT91" s="31">
        <f>MIN(AT$5,Z90+AJ91)</f>
        <v>0.0</v>
      </c>
      <c r="AU91" s="31">
        <f>MIN(AU$5,AA90+AK91)</f>
        <v>0.0</v>
      </c>
    </row>
    <row r="92">
      <c r="A92" s="25" t="str">
        <f>IF(F91&gt;0.005,87,"")</f>
        <v/>
      </c>
      <c r="B92" s="33" t="str">
        <f>IF(A92="","",EDATE(Долги!$D$5,86))</f>
        <v/>
      </c>
      <c r="C92" s="31">
        <f>SUM(H92:Q92)</f>
        <v>0.0</v>
      </c>
      <c r="D92" s="31">
        <f>SUM(AB92:AK92)</f>
        <v>0.0</v>
      </c>
      <c r="E92" s="31">
        <f>C92-D92</f>
        <v>0.0</v>
      </c>
      <c r="F92" s="31">
        <f>SUM(R92:AA92)</f>
        <v>0.0</v>
      </c>
      <c r="G92" s="34" t="str">
        <f>IF(OR(A92="",$F$5&lt;=0),"",REPT("█",ROUND(20*F92/$F$5,0)))</f>
        <v/>
      </c>
      <c r="H92" s="31">
        <f>AL92+MIN(R91+AB92-AL92,MAX(0,ROUND(Долги!$D$19-SUM($AL92:$AU92),2)))</f>
        <v>0.0</v>
      </c>
      <c r="I92" s="31">
        <f>AM92+MIN(S91+AC92-AM92,MAX(0,ROUND(ROUND(Долги!$D$19-SUM($AL92:$AU92),2)-(SUM($H92:H92)-SUM($AL92:AL92)),2)))</f>
        <v>0.0</v>
      </c>
      <c r="J92" s="31">
        <f>AN92+MIN(T91+AD92-AN92,MAX(0,ROUND(ROUND(Долги!$D$19-SUM($AL92:$AU92),2)-(SUM($H92:I92)-SUM($AL92:AM92)),2)))</f>
        <v>0.0</v>
      </c>
      <c r="K92" s="31">
        <f>AO92+MIN(U91+AE92-AO92,MAX(0,ROUND(ROUND(Долги!$D$19-SUM($AL92:$AU92),2)-(SUM($H92:J92)-SUM($AL92:AN92)),2)))</f>
        <v>0.0</v>
      </c>
      <c r="L92" s="31">
        <f>AP92+MIN(V91+AF92-AP92,MAX(0,ROUND(ROUND(Долги!$D$19-SUM($AL92:$AU92),2)-(SUM($H92:K92)-SUM($AL92:AO92)),2)))</f>
        <v>0.0</v>
      </c>
      <c r="M92" s="31">
        <f>AQ92+MIN(W91+AG92-AQ92,MAX(0,ROUND(ROUND(Долги!$D$19-SUM($AL92:$AU92),2)-(SUM($H92:L92)-SUM($AL92:AP92)),2)))</f>
        <v>0.0</v>
      </c>
      <c r="N92" s="31">
        <f>AR92+MIN(X91+AH92-AR92,MAX(0,ROUND(ROUND(Долги!$D$19-SUM($AL92:$AU92),2)-(SUM($H92:M92)-SUM($AL92:AQ92)),2)))</f>
        <v>0.0</v>
      </c>
      <c r="O92" s="31">
        <f>AS92+MIN(Y91+AI92-AS92,MAX(0,ROUND(ROUND(Долги!$D$19-SUM($AL92:$AU92),2)-(SUM($H92:N92)-SUM($AL92:AR92)),2)))</f>
        <v>0.0</v>
      </c>
      <c r="P92" s="31">
        <f>AT92+MIN(Z91+AJ92-AT92,MAX(0,ROUND(ROUND(Долги!$D$19-SUM($AL92:$AU92),2)-(SUM($H92:O92)-SUM($AL92:AS92)),2)))</f>
        <v>0.0</v>
      </c>
      <c r="Q92" s="31">
        <f>AU92+MIN(AA91+AK92-AU92,MAX(0,ROUND(ROUND(Долги!$D$19-SUM($AL92:$AU92),2)-(SUM($H92:P92)-SUM($AL92:AT92)),2)))</f>
        <v>0.0</v>
      </c>
      <c r="R92" s="31">
        <f>IF(R91+AB92-H92&lt;=0.01,0,ROUND(R91+AB92-H92,2))</f>
        <v>0.0</v>
      </c>
      <c r="S92" s="31">
        <f>IF(S91+AC92-I92&lt;=0.01,0,ROUND(S91+AC92-I92,2))</f>
        <v>0.0</v>
      </c>
      <c r="T92" s="31">
        <f>IF(T91+AD92-J92&lt;=0.01,0,ROUND(T91+AD92-J92,2))</f>
        <v>0.0</v>
      </c>
      <c r="U92" s="31">
        <f>IF(U91+AE92-K92&lt;=0.01,0,ROUND(U91+AE92-K92,2))</f>
        <v>0.0</v>
      </c>
      <c r="V92" s="31">
        <f>IF(V91+AF92-L92&lt;=0.01,0,ROUND(V91+AF92-L92,2))</f>
        <v>0.0</v>
      </c>
      <c r="W92" s="31">
        <f>IF(W91+AG92-M92&lt;=0.01,0,ROUND(W91+AG92-M92,2))</f>
        <v>0.0</v>
      </c>
      <c r="X92" s="31">
        <f>IF(X91+AH92-N92&lt;=0.01,0,ROUND(X91+AH92-N92,2))</f>
        <v>0.0</v>
      </c>
      <c r="Y92" s="31">
        <f>IF(Y91+AI92-O92&lt;=0.01,0,ROUND(Y91+AI92-O92,2))</f>
        <v>0.0</v>
      </c>
      <c r="Z92" s="31">
        <f>IF(Z91+AJ92-P92&lt;=0.01,0,ROUND(Z91+AJ92-P92,2))</f>
        <v>0.0</v>
      </c>
      <c r="AA92" s="31">
        <f>IF(AA91+AK92-Q92&lt;=0.01,0,ROUND(AA91+AK92-Q92,2))</f>
        <v>0.0</v>
      </c>
      <c r="AB92" s="31">
        <f>ROUND(R91*AB$5/1200,2)</f>
        <v>0.0</v>
      </c>
      <c r="AC92" s="31">
        <f>ROUND(S91*AC$5/1200,2)</f>
        <v>0.0</v>
      </c>
      <c r="AD92" s="31">
        <f>ROUND(T91*AD$5/1200,2)</f>
        <v>0.0</v>
      </c>
      <c r="AE92" s="31">
        <f>ROUND(U91*AE$5/1200,2)</f>
        <v>0.0</v>
      </c>
      <c r="AF92" s="31">
        <f>ROUND(V91*AF$5/1200,2)</f>
        <v>0.0</v>
      </c>
      <c r="AG92" s="31">
        <f>ROUND(W91*AG$5/1200,2)</f>
        <v>0.0</v>
      </c>
      <c r="AH92" s="31">
        <f>ROUND(X91*AH$5/1200,2)</f>
        <v>0.0</v>
      </c>
      <c r="AI92" s="31">
        <f>ROUND(Y91*AI$5/1200,2)</f>
        <v>0.0</v>
      </c>
      <c r="AJ92" s="31">
        <f>ROUND(Z91*AJ$5/1200,2)</f>
        <v>0.0</v>
      </c>
      <c r="AK92" s="31">
        <f>ROUND(AA91*AK$5/1200,2)</f>
        <v>0.0</v>
      </c>
      <c r="AL92" s="31">
        <f>MIN(AL$5,R91+AB92)</f>
        <v>0.0</v>
      </c>
      <c r="AM92" s="31">
        <f>MIN(AM$5,S91+AC92)</f>
        <v>0.0</v>
      </c>
      <c r="AN92" s="31">
        <f>MIN(AN$5,T91+AD92)</f>
        <v>0.0</v>
      </c>
      <c r="AO92" s="31">
        <f>MIN(AO$5,U91+AE92)</f>
        <v>0.0</v>
      </c>
      <c r="AP92" s="31">
        <f>MIN(AP$5,V91+AF92)</f>
        <v>0.0</v>
      </c>
      <c r="AQ92" s="31">
        <f>MIN(AQ$5,W91+AG92)</f>
        <v>0.0</v>
      </c>
      <c r="AR92" s="31">
        <f>MIN(AR$5,X91+AH92)</f>
        <v>0.0</v>
      </c>
      <c r="AS92" s="31">
        <f>MIN(AS$5,Y91+AI92)</f>
        <v>0.0</v>
      </c>
      <c r="AT92" s="31">
        <f>MIN(AT$5,Z91+AJ92)</f>
        <v>0.0</v>
      </c>
      <c r="AU92" s="31">
        <f>MIN(AU$5,AA91+AK92)</f>
        <v>0.0</v>
      </c>
    </row>
    <row r="93">
      <c r="A93" s="25" t="str">
        <f>IF(F92&gt;0.005,88,"")</f>
        <v/>
      </c>
      <c r="B93" s="33" t="str">
        <f>IF(A93="","",EDATE(Долги!$D$5,87))</f>
        <v/>
      </c>
      <c r="C93" s="31">
        <f>SUM(H93:Q93)</f>
        <v>0.0</v>
      </c>
      <c r="D93" s="31">
        <f>SUM(AB93:AK93)</f>
        <v>0.0</v>
      </c>
      <c r="E93" s="31">
        <f>C93-D93</f>
        <v>0.0</v>
      </c>
      <c r="F93" s="31">
        <f>SUM(R93:AA93)</f>
        <v>0.0</v>
      </c>
      <c r="G93" s="34" t="str">
        <f>IF(OR(A93="",$F$5&lt;=0),"",REPT("█",ROUND(20*F93/$F$5,0)))</f>
        <v/>
      </c>
      <c r="H93" s="31">
        <f>AL93+MIN(R92+AB93-AL93,MAX(0,ROUND(Долги!$D$19-SUM($AL93:$AU93),2)))</f>
        <v>0.0</v>
      </c>
      <c r="I93" s="31">
        <f>AM93+MIN(S92+AC93-AM93,MAX(0,ROUND(ROUND(Долги!$D$19-SUM($AL93:$AU93),2)-(SUM($H93:H93)-SUM($AL93:AL93)),2)))</f>
        <v>0.0</v>
      </c>
      <c r="J93" s="31">
        <f>AN93+MIN(T92+AD93-AN93,MAX(0,ROUND(ROUND(Долги!$D$19-SUM($AL93:$AU93),2)-(SUM($H93:I93)-SUM($AL93:AM93)),2)))</f>
        <v>0.0</v>
      </c>
      <c r="K93" s="31">
        <f>AO93+MIN(U92+AE93-AO93,MAX(0,ROUND(ROUND(Долги!$D$19-SUM($AL93:$AU93),2)-(SUM($H93:J93)-SUM($AL93:AN93)),2)))</f>
        <v>0.0</v>
      </c>
      <c r="L93" s="31">
        <f>AP93+MIN(V92+AF93-AP93,MAX(0,ROUND(ROUND(Долги!$D$19-SUM($AL93:$AU93),2)-(SUM($H93:K93)-SUM($AL93:AO93)),2)))</f>
        <v>0.0</v>
      </c>
      <c r="M93" s="31">
        <f>AQ93+MIN(W92+AG93-AQ93,MAX(0,ROUND(ROUND(Долги!$D$19-SUM($AL93:$AU93),2)-(SUM($H93:L93)-SUM($AL93:AP93)),2)))</f>
        <v>0.0</v>
      </c>
      <c r="N93" s="31">
        <f>AR93+MIN(X92+AH93-AR93,MAX(0,ROUND(ROUND(Долги!$D$19-SUM($AL93:$AU93),2)-(SUM($H93:M93)-SUM($AL93:AQ93)),2)))</f>
        <v>0.0</v>
      </c>
      <c r="O93" s="31">
        <f>AS93+MIN(Y92+AI93-AS93,MAX(0,ROUND(ROUND(Долги!$D$19-SUM($AL93:$AU93),2)-(SUM($H93:N93)-SUM($AL93:AR93)),2)))</f>
        <v>0.0</v>
      </c>
      <c r="P93" s="31">
        <f>AT93+MIN(Z92+AJ93-AT93,MAX(0,ROUND(ROUND(Долги!$D$19-SUM($AL93:$AU93),2)-(SUM($H93:O93)-SUM($AL93:AS93)),2)))</f>
        <v>0.0</v>
      </c>
      <c r="Q93" s="31">
        <f>AU93+MIN(AA92+AK93-AU93,MAX(0,ROUND(ROUND(Долги!$D$19-SUM($AL93:$AU93),2)-(SUM($H93:P93)-SUM($AL93:AT93)),2)))</f>
        <v>0.0</v>
      </c>
      <c r="R93" s="31">
        <f>IF(R92+AB93-H93&lt;=0.01,0,ROUND(R92+AB93-H93,2))</f>
        <v>0.0</v>
      </c>
      <c r="S93" s="31">
        <f>IF(S92+AC93-I93&lt;=0.01,0,ROUND(S92+AC93-I93,2))</f>
        <v>0.0</v>
      </c>
      <c r="T93" s="31">
        <f>IF(T92+AD93-J93&lt;=0.01,0,ROUND(T92+AD93-J93,2))</f>
        <v>0.0</v>
      </c>
      <c r="U93" s="31">
        <f>IF(U92+AE93-K93&lt;=0.01,0,ROUND(U92+AE93-K93,2))</f>
        <v>0.0</v>
      </c>
      <c r="V93" s="31">
        <f>IF(V92+AF93-L93&lt;=0.01,0,ROUND(V92+AF93-L93,2))</f>
        <v>0.0</v>
      </c>
      <c r="W93" s="31">
        <f>IF(W92+AG93-M93&lt;=0.01,0,ROUND(W92+AG93-M93,2))</f>
        <v>0.0</v>
      </c>
      <c r="X93" s="31">
        <f>IF(X92+AH93-N93&lt;=0.01,0,ROUND(X92+AH93-N93,2))</f>
        <v>0.0</v>
      </c>
      <c r="Y93" s="31">
        <f>IF(Y92+AI93-O93&lt;=0.01,0,ROUND(Y92+AI93-O93,2))</f>
        <v>0.0</v>
      </c>
      <c r="Z93" s="31">
        <f>IF(Z92+AJ93-P93&lt;=0.01,0,ROUND(Z92+AJ93-P93,2))</f>
        <v>0.0</v>
      </c>
      <c r="AA93" s="31">
        <f>IF(AA92+AK93-Q93&lt;=0.01,0,ROUND(AA92+AK93-Q93,2))</f>
        <v>0.0</v>
      </c>
      <c r="AB93" s="31">
        <f>ROUND(R92*AB$5/1200,2)</f>
        <v>0.0</v>
      </c>
      <c r="AC93" s="31">
        <f>ROUND(S92*AC$5/1200,2)</f>
        <v>0.0</v>
      </c>
      <c r="AD93" s="31">
        <f>ROUND(T92*AD$5/1200,2)</f>
        <v>0.0</v>
      </c>
      <c r="AE93" s="31">
        <f>ROUND(U92*AE$5/1200,2)</f>
        <v>0.0</v>
      </c>
      <c r="AF93" s="31">
        <f>ROUND(V92*AF$5/1200,2)</f>
        <v>0.0</v>
      </c>
      <c r="AG93" s="31">
        <f>ROUND(W92*AG$5/1200,2)</f>
        <v>0.0</v>
      </c>
      <c r="AH93" s="31">
        <f>ROUND(X92*AH$5/1200,2)</f>
        <v>0.0</v>
      </c>
      <c r="AI93" s="31">
        <f>ROUND(Y92*AI$5/1200,2)</f>
        <v>0.0</v>
      </c>
      <c r="AJ93" s="31">
        <f>ROUND(Z92*AJ$5/1200,2)</f>
        <v>0.0</v>
      </c>
      <c r="AK93" s="31">
        <f>ROUND(AA92*AK$5/1200,2)</f>
        <v>0.0</v>
      </c>
      <c r="AL93" s="31">
        <f>MIN(AL$5,R92+AB93)</f>
        <v>0.0</v>
      </c>
      <c r="AM93" s="31">
        <f>MIN(AM$5,S92+AC93)</f>
        <v>0.0</v>
      </c>
      <c r="AN93" s="31">
        <f>MIN(AN$5,T92+AD93)</f>
        <v>0.0</v>
      </c>
      <c r="AO93" s="31">
        <f>MIN(AO$5,U92+AE93)</f>
        <v>0.0</v>
      </c>
      <c r="AP93" s="31">
        <f>MIN(AP$5,V92+AF93)</f>
        <v>0.0</v>
      </c>
      <c r="AQ93" s="31">
        <f>MIN(AQ$5,W92+AG93)</f>
        <v>0.0</v>
      </c>
      <c r="AR93" s="31">
        <f>MIN(AR$5,X92+AH93)</f>
        <v>0.0</v>
      </c>
      <c r="AS93" s="31">
        <f>MIN(AS$5,Y92+AI93)</f>
        <v>0.0</v>
      </c>
      <c r="AT93" s="31">
        <f>MIN(AT$5,Z92+AJ93)</f>
        <v>0.0</v>
      </c>
      <c r="AU93" s="31">
        <f>MIN(AU$5,AA92+AK93)</f>
        <v>0.0</v>
      </c>
    </row>
    <row r="94">
      <c r="A94" s="25" t="str">
        <f>IF(F93&gt;0.005,89,"")</f>
        <v/>
      </c>
      <c r="B94" s="33" t="str">
        <f>IF(A94="","",EDATE(Долги!$D$5,88))</f>
        <v/>
      </c>
      <c r="C94" s="31">
        <f>SUM(H94:Q94)</f>
        <v>0.0</v>
      </c>
      <c r="D94" s="31">
        <f>SUM(AB94:AK94)</f>
        <v>0.0</v>
      </c>
      <c r="E94" s="31">
        <f>C94-D94</f>
        <v>0.0</v>
      </c>
      <c r="F94" s="31">
        <f>SUM(R94:AA94)</f>
        <v>0.0</v>
      </c>
      <c r="G94" s="34" t="str">
        <f>IF(OR(A94="",$F$5&lt;=0),"",REPT("█",ROUND(20*F94/$F$5,0)))</f>
        <v/>
      </c>
      <c r="H94" s="31">
        <f>AL94+MIN(R93+AB94-AL94,MAX(0,ROUND(Долги!$D$19-SUM($AL94:$AU94),2)))</f>
        <v>0.0</v>
      </c>
      <c r="I94" s="31">
        <f>AM94+MIN(S93+AC94-AM94,MAX(0,ROUND(ROUND(Долги!$D$19-SUM($AL94:$AU94),2)-(SUM($H94:H94)-SUM($AL94:AL94)),2)))</f>
        <v>0.0</v>
      </c>
      <c r="J94" s="31">
        <f>AN94+MIN(T93+AD94-AN94,MAX(0,ROUND(ROUND(Долги!$D$19-SUM($AL94:$AU94),2)-(SUM($H94:I94)-SUM($AL94:AM94)),2)))</f>
        <v>0.0</v>
      </c>
      <c r="K94" s="31">
        <f>AO94+MIN(U93+AE94-AO94,MAX(0,ROUND(ROUND(Долги!$D$19-SUM($AL94:$AU94),2)-(SUM($H94:J94)-SUM($AL94:AN94)),2)))</f>
        <v>0.0</v>
      </c>
      <c r="L94" s="31">
        <f>AP94+MIN(V93+AF94-AP94,MAX(0,ROUND(ROUND(Долги!$D$19-SUM($AL94:$AU94),2)-(SUM($H94:K94)-SUM($AL94:AO94)),2)))</f>
        <v>0.0</v>
      </c>
      <c r="M94" s="31">
        <f>AQ94+MIN(W93+AG94-AQ94,MAX(0,ROUND(ROUND(Долги!$D$19-SUM($AL94:$AU94),2)-(SUM($H94:L94)-SUM($AL94:AP94)),2)))</f>
        <v>0.0</v>
      </c>
      <c r="N94" s="31">
        <f>AR94+MIN(X93+AH94-AR94,MAX(0,ROUND(ROUND(Долги!$D$19-SUM($AL94:$AU94),2)-(SUM($H94:M94)-SUM($AL94:AQ94)),2)))</f>
        <v>0.0</v>
      </c>
      <c r="O94" s="31">
        <f>AS94+MIN(Y93+AI94-AS94,MAX(0,ROUND(ROUND(Долги!$D$19-SUM($AL94:$AU94),2)-(SUM($H94:N94)-SUM($AL94:AR94)),2)))</f>
        <v>0.0</v>
      </c>
      <c r="P94" s="31">
        <f>AT94+MIN(Z93+AJ94-AT94,MAX(0,ROUND(ROUND(Долги!$D$19-SUM($AL94:$AU94),2)-(SUM($H94:O94)-SUM($AL94:AS94)),2)))</f>
        <v>0.0</v>
      </c>
      <c r="Q94" s="31">
        <f>AU94+MIN(AA93+AK94-AU94,MAX(0,ROUND(ROUND(Долги!$D$19-SUM($AL94:$AU94),2)-(SUM($H94:P94)-SUM($AL94:AT94)),2)))</f>
        <v>0.0</v>
      </c>
      <c r="R94" s="31">
        <f>IF(R93+AB94-H94&lt;=0.01,0,ROUND(R93+AB94-H94,2))</f>
        <v>0.0</v>
      </c>
      <c r="S94" s="31">
        <f>IF(S93+AC94-I94&lt;=0.01,0,ROUND(S93+AC94-I94,2))</f>
        <v>0.0</v>
      </c>
      <c r="T94" s="31">
        <f>IF(T93+AD94-J94&lt;=0.01,0,ROUND(T93+AD94-J94,2))</f>
        <v>0.0</v>
      </c>
      <c r="U94" s="31">
        <f>IF(U93+AE94-K94&lt;=0.01,0,ROUND(U93+AE94-K94,2))</f>
        <v>0.0</v>
      </c>
      <c r="V94" s="31">
        <f>IF(V93+AF94-L94&lt;=0.01,0,ROUND(V93+AF94-L94,2))</f>
        <v>0.0</v>
      </c>
      <c r="W94" s="31">
        <f>IF(W93+AG94-M94&lt;=0.01,0,ROUND(W93+AG94-M94,2))</f>
        <v>0.0</v>
      </c>
      <c r="X94" s="31">
        <f>IF(X93+AH94-N94&lt;=0.01,0,ROUND(X93+AH94-N94,2))</f>
        <v>0.0</v>
      </c>
      <c r="Y94" s="31">
        <f>IF(Y93+AI94-O94&lt;=0.01,0,ROUND(Y93+AI94-O94,2))</f>
        <v>0.0</v>
      </c>
      <c r="Z94" s="31">
        <f>IF(Z93+AJ94-P94&lt;=0.01,0,ROUND(Z93+AJ94-P94,2))</f>
        <v>0.0</v>
      </c>
      <c r="AA94" s="31">
        <f>IF(AA93+AK94-Q94&lt;=0.01,0,ROUND(AA93+AK94-Q94,2))</f>
        <v>0.0</v>
      </c>
      <c r="AB94" s="31">
        <f>ROUND(R93*AB$5/1200,2)</f>
        <v>0.0</v>
      </c>
      <c r="AC94" s="31">
        <f>ROUND(S93*AC$5/1200,2)</f>
        <v>0.0</v>
      </c>
      <c r="AD94" s="31">
        <f>ROUND(T93*AD$5/1200,2)</f>
        <v>0.0</v>
      </c>
      <c r="AE94" s="31">
        <f>ROUND(U93*AE$5/1200,2)</f>
        <v>0.0</v>
      </c>
      <c r="AF94" s="31">
        <f>ROUND(V93*AF$5/1200,2)</f>
        <v>0.0</v>
      </c>
      <c r="AG94" s="31">
        <f>ROUND(W93*AG$5/1200,2)</f>
        <v>0.0</v>
      </c>
      <c r="AH94" s="31">
        <f>ROUND(X93*AH$5/1200,2)</f>
        <v>0.0</v>
      </c>
      <c r="AI94" s="31">
        <f>ROUND(Y93*AI$5/1200,2)</f>
        <v>0.0</v>
      </c>
      <c r="AJ94" s="31">
        <f>ROUND(Z93*AJ$5/1200,2)</f>
        <v>0.0</v>
      </c>
      <c r="AK94" s="31">
        <f>ROUND(AA93*AK$5/1200,2)</f>
        <v>0.0</v>
      </c>
      <c r="AL94" s="31">
        <f>MIN(AL$5,R93+AB94)</f>
        <v>0.0</v>
      </c>
      <c r="AM94" s="31">
        <f>MIN(AM$5,S93+AC94)</f>
        <v>0.0</v>
      </c>
      <c r="AN94" s="31">
        <f>MIN(AN$5,T93+AD94)</f>
        <v>0.0</v>
      </c>
      <c r="AO94" s="31">
        <f>MIN(AO$5,U93+AE94)</f>
        <v>0.0</v>
      </c>
      <c r="AP94" s="31">
        <f>MIN(AP$5,V93+AF94)</f>
        <v>0.0</v>
      </c>
      <c r="AQ94" s="31">
        <f>MIN(AQ$5,W93+AG94)</f>
        <v>0.0</v>
      </c>
      <c r="AR94" s="31">
        <f>MIN(AR$5,X93+AH94)</f>
        <v>0.0</v>
      </c>
      <c r="AS94" s="31">
        <f>MIN(AS$5,Y93+AI94)</f>
        <v>0.0</v>
      </c>
      <c r="AT94" s="31">
        <f>MIN(AT$5,Z93+AJ94)</f>
        <v>0.0</v>
      </c>
      <c r="AU94" s="31">
        <f>MIN(AU$5,AA93+AK94)</f>
        <v>0.0</v>
      </c>
    </row>
    <row r="95">
      <c r="A95" s="25" t="str">
        <f>IF(F94&gt;0.005,90,"")</f>
        <v/>
      </c>
      <c r="B95" s="33" t="str">
        <f>IF(A95="","",EDATE(Долги!$D$5,89))</f>
        <v/>
      </c>
      <c r="C95" s="31">
        <f>SUM(H95:Q95)</f>
        <v>0.0</v>
      </c>
      <c r="D95" s="31">
        <f>SUM(AB95:AK95)</f>
        <v>0.0</v>
      </c>
      <c r="E95" s="31">
        <f>C95-D95</f>
        <v>0.0</v>
      </c>
      <c r="F95" s="31">
        <f>SUM(R95:AA95)</f>
        <v>0.0</v>
      </c>
      <c r="G95" s="34" t="str">
        <f>IF(OR(A95="",$F$5&lt;=0),"",REPT("█",ROUND(20*F95/$F$5,0)))</f>
        <v/>
      </c>
      <c r="H95" s="31">
        <f>AL95+MIN(R94+AB95-AL95,MAX(0,ROUND(Долги!$D$19-SUM($AL95:$AU95),2)))</f>
        <v>0.0</v>
      </c>
      <c r="I95" s="31">
        <f>AM95+MIN(S94+AC95-AM95,MAX(0,ROUND(ROUND(Долги!$D$19-SUM($AL95:$AU95),2)-(SUM($H95:H95)-SUM($AL95:AL95)),2)))</f>
        <v>0.0</v>
      </c>
      <c r="J95" s="31">
        <f>AN95+MIN(T94+AD95-AN95,MAX(0,ROUND(ROUND(Долги!$D$19-SUM($AL95:$AU95),2)-(SUM($H95:I95)-SUM($AL95:AM95)),2)))</f>
        <v>0.0</v>
      </c>
      <c r="K95" s="31">
        <f>AO95+MIN(U94+AE95-AO95,MAX(0,ROUND(ROUND(Долги!$D$19-SUM($AL95:$AU95),2)-(SUM($H95:J95)-SUM($AL95:AN95)),2)))</f>
        <v>0.0</v>
      </c>
      <c r="L95" s="31">
        <f>AP95+MIN(V94+AF95-AP95,MAX(0,ROUND(ROUND(Долги!$D$19-SUM($AL95:$AU95),2)-(SUM($H95:K95)-SUM($AL95:AO95)),2)))</f>
        <v>0.0</v>
      </c>
      <c r="M95" s="31">
        <f>AQ95+MIN(W94+AG95-AQ95,MAX(0,ROUND(ROUND(Долги!$D$19-SUM($AL95:$AU95),2)-(SUM($H95:L95)-SUM($AL95:AP95)),2)))</f>
        <v>0.0</v>
      </c>
      <c r="N95" s="31">
        <f>AR95+MIN(X94+AH95-AR95,MAX(0,ROUND(ROUND(Долги!$D$19-SUM($AL95:$AU95),2)-(SUM($H95:M95)-SUM($AL95:AQ95)),2)))</f>
        <v>0.0</v>
      </c>
      <c r="O95" s="31">
        <f>AS95+MIN(Y94+AI95-AS95,MAX(0,ROUND(ROUND(Долги!$D$19-SUM($AL95:$AU95),2)-(SUM($H95:N95)-SUM($AL95:AR95)),2)))</f>
        <v>0.0</v>
      </c>
      <c r="P95" s="31">
        <f>AT95+MIN(Z94+AJ95-AT95,MAX(0,ROUND(ROUND(Долги!$D$19-SUM($AL95:$AU95),2)-(SUM($H95:O95)-SUM($AL95:AS95)),2)))</f>
        <v>0.0</v>
      </c>
      <c r="Q95" s="31">
        <f>AU95+MIN(AA94+AK95-AU95,MAX(0,ROUND(ROUND(Долги!$D$19-SUM($AL95:$AU95),2)-(SUM($H95:P95)-SUM($AL95:AT95)),2)))</f>
        <v>0.0</v>
      </c>
      <c r="R95" s="31">
        <f>IF(R94+AB95-H95&lt;=0.01,0,ROUND(R94+AB95-H95,2))</f>
        <v>0.0</v>
      </c>
      <c r="S95" s="31">
        <f>IF(S94+AC95-I95&lt;=0.01,0,ROUND(S94+AC95-I95,2))</f>
        <v>0.0</v>
      </c>
      <c r="T95" s="31">
        <f>IF(T94+AD95-J95&lt;=0.01,0,ROUND(T94+AD95-J95,2))</f>
        <v>0.0</v>
      </c>
      <c r="U95" s="31">
        <f>IF(U94+AE95-K95&lt;=0.01,0,ROUND(U94+AE95-K95,2))</f>
        <v>0.0</v>
      </c>
      <c r="V95" s="31">
        <f>IF(V94+AF95-L95&lt;=0.01,0,ROUND(V94+AF95-L95,2))</f>
        <v>0.0</v>
      </c>
      <c r="W95" s="31">
        <f>IF(W94+AG95-M95&lt;=0.01,0,ROUND(W94+AG95-M95,2))</f>
        <v>0.0</v>
      </c>
      <c r="X95" s="31">
        <f>IF(X94+AH95-N95&lt;=0.01,0,ROUND(X94+AH95-N95,2))</f>
        <v>0.0</v>
      </c>
      <c r="Y95" s="31">
        <f>IF(Y94+AI95-O95&lt;=0.01,0,ROUND(Y94+AI95-O95,2))</f>
        <v>0.0</v>
      </c>
      <c r="Z95" s="31">
        <f>IF(Z94+AJ95-P95&lt;=0.01,0,ROUND(Z94+AJ95-P95,2))</f>
        <v>0.0</v>
      </c>
      <c r="AA95" s="31">
        <f>IF(AA94+AK95-Q95&lt;=0.01,0,ROUND(AA94+AK95-Q95,2))</f>
        <v>0.0</v>
      </c>
      <c r="AB95" s="31">
        <f>ROUND(R94*AB$5/1200,2)</f>
        <v>0.0</v>
      </c>
      <c r="AC95" s="31">
        <f>ROUND(S94*AC$5/1200,2)</f>
        <v>0.0</v>
      </c>
      <c r="AD95" s="31">
        <f>ROUND(T94*AD$5/1200,2)</f>
        <v>0.0</v>
      </c>
      <c r="AE95" s="31">
        <f>ROUND(U94*AE$5/1200,2)</f>
        <v>0.0</v>
      </c>
      <c r="AF95" s="31">
        <f>ROUND(V94*AF$5/1200,2)</f>
        <v>0.0</v>
      </c>
      <c r="AG95" s="31">
        <f>ROUND(W94*AG$5/1200,2)</f>
        <v>0.0</v>
      </c>
      <c r="AH95" s="31">
        <f>ROUND(X94*AH$5/1200,2)</f>
        <v>0.0</v>
      </c>
      <c r="AI95" s="31">
        <f>ROUND(Y94*AI$5/1200,2)</f>
        <v>0.0</v>
      </c>
      <c r="AJ95" s="31">
        <f>ROUND(Z94*AJ$5/1200,2)</f>
        <v>0.0</v>
      </c>
      <c r="AK95" s="31">
        <f>ROUND(AA94*AK$5/1200,2)</f>
        <v>0.0</v>
      </c>
      <c r="AL95" s="31">
        <f>MIN(AL$5,R94+AB95)</f>
        <v>0.0</v>
      </c>
      <c r="AM95" s="31">
        <f>MIN(AM$5,S94+AC95)</f>
        <v>0.0</v>
      </c>
      <c r="AN95" s="31">
        <f>MIN(AN$5,T94+AD95)</f>
        <v>0.0</v>
      </c>
      <c r="AO95" s="31">
        <f>MIN(AO$5,U94+AE95)</f>
        <v>0.0</v>
      </c>
      <c r="AP95" s="31">
        <f>MIN(AP$5,V94+AF95)</f>
        <v>0.0</v>
      </c>
      <c r="AQ95" s="31">
        <f>MIN(AQ$5,W94+AG95)</f>
        <v>0.0</v>
      </c>
      <c r="AR95" s="31">
        <f>MIN(AR$5,X94+AH95)</f>
        <v>0.0</v>
      </c>
      <c r="AS95" s="31">
        <f>MIN(AS$5,Y94+AI95)</f>
        <v>0.0</v>
      </c>
      <c r="AT95" s="31">
        <f>MIN(AT$5,Z94+AJ95)</f>
        <v>0.0</v>
      </c>
      <c r="AU95" s="31">
        <f>MIN(AU$5,AA94+AK95)</f>
        <v>0.0</v>
      </c>
    </row>
    <row r="96">
      <c r="A96" s="25" t="str">
        <f>IF(F95&gt;0.005,91,"")</f>
        <v/>
      </c>
      <c r="B96" s="33" t="str">
        <f>IF(A96="","",EDATE(Долги!$D$5,90))</f>
        <v/>
      </c>
      <c r="C96" s="31">
        <f>SUM(H96:Q96)</f>
        <v>0.0</v>
      </c>
      <c r="D96" s="31">
        <f>SUM(AB96:AK96)</f>
        <v>0.0</v>
      </c>
      <c r="E96" s="31">
        <f>C96-D96</f>
        <v>0.0</v>
      </c>
      <c r="F96" s="31">
        <f>SUM(R96:AA96)</f>
        <v>0.0</v>
      </c>
      <c r="G96" s="34" t="str">
        <f>IF(OR(A96="",$F$5&lt;=0),"",REPT("█",ROUND(20*F96/$F$5,0)))</f>
        <v/>
      </c>
      <c r="H96" s="31">
        <f>AL96+MIN(R95+AB96-AL96,MAX(0,ROUND(Долги!$D$19-SUM($AL96:$AU96),2)))</f>
        <v>0.0</v>
      </c>
      <c r="I96" s="31">
        <f>AM96+MIN(S95+AC96-AM96,MAX(0,ROUND(ROUND(Долги!$D$19-SUM($AL96:$AU96),2)-(SUM($H96:H96)-SUM($AL96:AL96)),2)))</f>
        <v>0.0</v>
      </c>
      <c r="J96" s="31">
        <f>AN96+MIN(T95+AD96-AN96,MAX(0,ROUND(ROUND(Долги!$D$19-SUM($AL96:$AU96),2)-(SUM($H96:I96)-SUM($AL96:AM96)),2)))</f>
        <v>0.0</v>
      </c>
      <c r="K96" s="31">
        <f>AO96+MIN(U95+AE96-AO96,MAX(0,ROUND(ROUND(Долги!$D$19-SUM($AL96:$AU96),2)-(SUM($H96:J96)-SUM($AL96:AN96)),2)))</f>
        <v>0.0</v>
      </c>
      <c r="L96" s="31">
        <f>AP96+MIN(V95+AF96-AP96,MAX(0,ROUND(ROUND(Долги!$D$19-SUM($AL96:$AU96),2)-(SUM($H96:K96)-SUM($AL96:AO96)),2)))</f>
        <v>0.0</v>
      </c>
      <c r="M96" s="31">
        <f>AQ96+MIN(W95+AG96-AQ96,MAX(0,ROUND(ROUND(Долги!$D$19-SUM($AL96:$AU96),2)-(SUM($H96:L96)-SUM($AL96:AP96)),2)))</f>
        <v>0.0</v>
      </c>
      <c r="N96" s="31">
        <f>AR96+MIN(X95+AH96-AR96,MAX(0,ROUND(ROUND(Долги!$D$19-SUM($AL96:$AU96),2)-(SUM($H96:M96)-SUM($AL96:AQ96)),2)))</f>
        <v>0.0</v>
      </c>
      <c r="O96" s="31">
        <f>AS96+MIN(Y95+AI96-AS96,MAX(0,ROUND(ROUND(Долги!$D$19-SUM($AL96:$AU96),2)-(SUM($H96:N96)-SUM($AL96:AR96)),2)))</f>
        <v>0.0</v>
      </c>
      <c r="P96" s="31">
        <f>AT96+MIN(Z95+AJ96-AT96,MAX(0,ROUND(ROUND(Долги!$D$19-SUM($AL96:$AU96),2)-(SUM($H96:O96)-SUM($AL96:AS96)),2)))</f>
        <v>0.0</v>
      </c>
      <c r="Q96" s="31">
        <f>AU96+MIN(AA95+AK96-AU96,MAX(0,ROUND(ROUND(Долги!$D$19-SUM($AL96:$AU96),2)-(SUM($H96:P96)-SUM($AL96:AT96)),2)))</f>
        <v>0.0</v>
      </c>
      <c r="R96" s="31">
        <f>IF(R95+AB96-H96&lt;=0.01,0,ROUND(R95+AB96-H96,2))</f>
        <v>0.0</v>
      </c>
      <c r="S96" s="31">
        <f>IF(S95+AC96-I96&lt;=0.01,0,ROUND(S95+AC96-I96,2))</f>
        <v>0.0</v>
      </c>
      <c r="T96" s="31">
        <f>IF(T95+AD96-J96&lt;=0.01,0,ROUND(T95+AD96-J96,2))</f>
        <v>0.0</v>
      </c>
      <c r="U96" s="31">
        <f>IF(U95+AE96-K96&lt;=0.01,0,ROUND(U95+AE96-K96,2))</f>
        <v>0.0</v>
      </c>
      <c r="V96" s="31">
        <f>IF(V95+AF96-L96&lt;=0.01,0,ROUND(V95+AF96-L96,2))</f>
        <v>0.0</v>
      </c>
      <c r="W96" s="31">
        <f>IF(W95+AG96-M96&lt;=0.01,0,ROUND(W95+AG96-M96,2))</f>
        <v>0.0</v>
      </c>
      <c r="X96" s="31">
        <f>IF(X95+AH96-N96&lt;=0.01,0,ROUND(X95+AH96-N96,2))</f>
        <v>0.0</v>
      </c>
      <c r="Y96" s="31">
        <f>IF(Y95+AI96-O96&lt;=0.01,0,ROUND(Y95+AI96-O96,2))</f>
        <v>0.0</v>
      </c>
      <c r="Z96" s="31">
        <f>IF(Z95+AJ96-P96&lt;=0.01,0,ROUND(Z95+AJ96-P96,2))</f>
        <v>0.0</v>
      </c>
      <c r="AA96" s="31">
        <f>IF(AA95+AK96-Q96&lt;=0.01,0,ROUND(AA95+AK96-Q96,2))</f>
        <v>0.0</v>
      </c>
      <c r="AB96" s="31">
        <f>ROUND(R95*AB$5/1200,2)</f>
        <v>0.0</v>
      </c>
      <c r="AC96" s="31">
        <f>ROUND(S95*AC$5/1200,2)</f>
        <v>0.0</v>
      </c>
      <c r="AD96" s="31">
        <f>ROUND(T95*AD$5/1200,2)</f>
        <v>0.0</v>
      </c>
      <c r="AE96" s="31">
        <f>ROUND(U95*AE$5/1200,2)</f>
        <v>0.0</v>
      </c>
      <c r="AF96" s="31">
        <f>ROUND(V95*AF$5/1200,2)</f>
        <v>0.0</v>
      </c>
      <c r="AG96" s="31">
        <f>ROUND(W95*AG$5/1200,2)</f>
        <v>0.0</v>
      </c>
      <c r="AH96" s="31">
        <f>ROUND(X95*AH$5/1200,2)</f>
        <v>0.0</v>
      </c>
      <c r="AI96" s="31">
        <f>ROUND(Y95*AI$5/1200,2)</f>
        <v>0.0</v>
      </c>
      <c r="AJ96" s="31">
        <f>ROUND(Z95*AJ$5/1200,2)</f>
        <v>0.0</v>
      </c>
      <c r="AK96" s="31">
        <f>ROUND(AA95*AK$5/1200,2)</f>
        <v>0.0</v>
      </c>
      <c r="AL96" s="31">
        <f>MIN(AL$5,R95+AB96)</f>
        <v>0.0</v>
      </c>
      <c r="AM96" s="31">
        <f>MIN(AM$5,S95+AC96)</f>
        <v>0.0</v>
      </c>
      <c r="AN96" s="31">
        <f>MIN(AN$5,T95+AD96)</f>
        <v>0.0</v>
      </c>
      <c r="AO96" s="31">
        <f>MIN(AO$5,U95+AE96)</f>
        <v>0.0</v>
      </c>
      <c r="AP96" s="31">
        <f>MIN(AP$5,V95+AF96)</f>
        <v>0.0</v>
      </c>
      <c r="AQ96" s="31">
        <f>MIN(AQ$5,W95+AG96)</f>
        <v>0.0</v>
      </c>
      <c r="AR96" s="31">
        <f>MIN(AR$5,X95+AH96)</f>
        <v>0.0</v>
      </c>
      <c r="AS96" s="31">
        <f>MIN(AS$5,Y95+AI96)</f>
        <v>0.0</v>
      </c>
      <c r="AT96" s="31">
        <f>MIN(AT$5,Z95+AJ96)</f>
        <v>0.0</v>
      </c>
      <c r="AU96" s="31">
        <f>MIN(AU$5,AA95+AK96)</f>
        <v>0.0</v>
      </c>
    </row>
    <row r="97">
      <c r="A97" s="25" t="str">
        <f>IF(F96&gt;0.005,92,"")</f>
        <v/>
      </c>
      <c r="B97" s="33" t="str">
        <f>IF(A97="","",EDATE(Долги!$D$5,91))</f>
        <v/>
      </c>
      <c r="C97" s="31">
        <f>SUM(H97:Q97)</f>
        <v>0.0</v>
      </c>
      <c r="D97" s="31">
        <f>SUM(AB97:AK97)</f>
        <v>0.0</v>
      </c>
      <c r="E97" s="31">
        <f>C97-D97</f>
        <v>0.0</v>
      </c>
      <c r="F97" s="31">
        <f>SUM(R97:AA97)</f>
        <v>0.0</v>
      </c>
      <c r="G97" s="34" t="str">
        <f>IF(OR(A97="",$F$5&lt;=0),"",REPT("█",ROUND(20*F97/$F$5,0)))</f>
        <v/>
      </c>
      <c r="H97" s="31">
        <f>AL97+MIN(R96+AB97-AL97,MAX(0,ROUND(Долги!$D$19-SUM($AL97:$AU97),2)))</f>
        <v>0.0</v>
      </c>
      <c r="I97" s="31">
        <f>AM97+MIN(S96+AC97-AM97,MAX(0,ROUND(ROUND(Долги!$D$19-SUM($AL97:$AU97),2)-(SUM($H97:H97)-SUM($AL97:AL97)),2)))</f>
        <v>0.0</v>
      </c>
      <c r="J97" s="31">
        <f>AN97+MIN(T96+AD97-AN97,MAX(0,ROUND(ROUND(Долги!$D$19-SUM($AL97:$AU97),2)-(SUM($H97:I97)-SUM($AL97:AM97)),2)))</f>
        <v>0.0</v>
      </c>
      <c r="K97" s="31">
        <f>AO97+MIN(U96+AE97-AO97,MAX(0,ROUND(ROUND(Долги!$D$19-SUM($AL97:$AU97),2)-(SUM($H97:J97)-SUM($AL97:AN97)),2)))</f>
        <v>0.0</v>
      </c>
      <c r="L97" s="31">
        <f>AP97+MIN(V96+AF97-AP97,MAX(0,ROUND(ROUND(Долги!$D$19-SUM($AL97:$AU97),2)-(SUM($H97:K97)-SUM($AL97:AO97)),2)))</f>
        <v>0.0</v>
      </c>
      <c r="M97" s="31">
        <f>AQ97+MIN(W96+AG97-AQ97,MAX(0,ROUND(ROUND(Долги!$D$19-SUM($AL97:$AU97),2)-(SUM($H97:L97)-SUM($AL97:AP97)),2)))</f>
        <v>0.0</v>
      </c>
      <c r="N97" s="31">
        <f>AR97+MIN(X96+AH97-AR97,MAX(0,ROUND(ROUND(Долги!$D$19-SUM($AL97:$AU97),2)-(SUM($H97:M97)-SUM($AL97:AQ97)),2)))</f>
        <v>0.0</v>
      </c>
      <c r="O97" s="31">
        <f>AS97+MIN(Y96+AI97-AS97,MAX(0,ROUND(ROUND(Долги!$D$19-SUM($AL97:$AU97),2)-(SUM($H97:N97)-SUM($AL97:AR97)),2)))</f>
        <v>0.0</v>
      </c>
      <c r="P97" s="31">
        <f>AT97+MIN(Z96+AJ97-AT97,MAX(0,ROUND(ROUND(Долги!$D$19-SUM($AL97:$AU97),2)-(SUM($H97:O97)-SUM($AL97:AS97)),2)))</f>
        <v>0.0</v>
      </c>
      <c r="Q97" s="31">
        <f>AU97+MIN(AA96+AK97-AU97,MAX(0,ROUND(ROUND(Долги!$D$19-SUM($AL97:$AU97),2)-(SUM($H97:P97)-SUM($AL97:AT97)),2)))</f>
        <v>0.0</v>
      </c>
      <c r="R97" s="31">
        <f>IF(R96+AB97-H97&lt;=0.01,0,ROUND(R96+AB97-H97,2))</f>
        <v>0.0</v>
      </c>
      <c r="S97" s="31">
        <f>IF(S96+AC97-I97&lt;=0.01,0,ROUND(S96+AC97-I97,2))</f>
        <v>0.0</v>
      </c>
      <c r="T97" s="31">
        <f>IF(T96+AD97-J97&lt;=0.01,0,ROUND(T96+AD97-J97,2))</f>
        <v>0.0</v>
      </c>
      <c r="U97" s="31">
        <f>IF(U96+AE97-K97&lt;=0.01,0,ROUND(U96+AE97-K97,2))</f>
        <v>0.0</v>
      </c>
      <c r="V97" s="31">
        <f>IF(V96+AF97-L97&lt;=0.01,0,ROUND(V96+AF97-L97,2))</f>
        <v>0.0</v>
      </c>
      <c r="W97" s="31">
        <f>IF(W96+AG97-M97&lt;=0.01,0,ROUND(W96+AG97-M97,2))</f>
        <v>0.0</v>
      </c>
      <c r="X97" s="31">
        <f>IF(X96+AH97-N97&lt;=0.01,0,ROUND(X96+AH97-N97,2))</f>
        <v>0.0</v>
      </c>
      <c r="Y97" s="31">
        <f>IF(Y96+AI97-O97&lt;=0.01,0,ROUND(Y96+AI97-O97,2))</f>
        <v>0.0</v>
      </c>
      <c r="Z97" s="31">
        <f>IF(Z96+AJ97-P97&lt;=0.01,0,ROUND(Z96+AJ97-P97,2))</f>
        <v>0.0</v>
      </c>
      <c r="AA97" s="31">
        <f>IF(AA96+AK97-Q97&lt;=0.01,0,ROUND(AA96+AK97-Q97,2))</f>
        <v>0.0</v>
      </c>
      <c r="AB97" s="31">
        <f>ROUND(R96*AB$5/1200,2)</f>
        <v>0.0</v>
      </c>
      <c r="AC97" s="31">
        <f>ROUND(S96*AC$5/1200,2)</f>
        <v>0.0</v>
      </c>
      <c r="AD97" s="31">
        <f>ROUND(T96*AD$5/1200,2)</f>
        <v>0.0</v>
      </c>
      <c r="AE97" s="31">
        <f>ROUND(U96*AE$5/1200,2)</f>
        <v>0.0</v>
      </c>
      <c r="AF97" s="31">
        <f>ROUND(V96*AF$5/1200,2)</f>
        <v>0.0</v>
      </c>
      <c r="AG97" s="31">
        <f>ROUND(W96*AG$5/1200,2)</f>
        <v>0.0</v>
      </c>
      <c r="AH97" s="31">
        <f>ROUND(X96*AH$5/1200,2)</f>
        <v>0.0</v>
      </c>
      <c r="AI97" s="31">
        <f>ROUND(Y96*AI$5/1200,2)</f>
        <v>0.0</v>
      </c>
      <c r="AJ97" s="31">
        <f>ROUND(Z96*AJ$5/1200,2)</f>
        <v>0.0</v>
      </c>
      <c r="AK97" s="31">
        <f>ROUND(AA96*AK$5/1200,2)</f>
        <v>0.0</v>
      </c>
      <c r="AL97" s="31">
        <f>MIN(AL$5,R96+AB97)</f>
        <v>0.0</v>
      </c>
      <c r="AM97" s="31">
        <f>MIN(AM$5,S96+AC97)</f>
        <v>0.0</v>
      </c>
      <c r="AN97" s="31">
        <f>MIN(AN$5,T96+AD97)</f>
        <v>0.0</v>
      </c>
      <c r="AO97" s="31">
        <f>MIN(AO$5,U96+AE97)</f>
        <v>0.0</v>
      </c>
      <c r="AP97" s="31">
        <f>MIN(AP$5,V96+AF97)</f>
        <v>0.0</v>
      </c>
      <c r="AQ97" s="31">
        <f>MIN(AQ$5,W96+AG97)</f>
        <v>0.0</v>
      </c>
      <c r="AR97" s="31">
        <f>MIN(AR$5,X96+AH97)</f>
        <v>0.0</v>
      </c>
      <c r="AS97" s="31">
        <f>MIN(AS$5,Y96+AI97)</f>
        <v>0.0</v>
      </c>
      <c r="AT97" s="31">
        <f>MIN(AT$5,Z96+AJ97)</f>
        <v>0.0</v>
      </c>
      <c r="AU97" s="31">
        <f>MIN(AU$5,AA96+AK97)</f>
        <v>0.0</v>
      </c>
    </row>
    <row r="98">
      <c r="A98" s="25" t="str">
        <f>IF(F97&gt;0.005,93,"")</f>
        <v/>
      </c>
      <c r="B98" s="33" t="str">
        <f>IF(A98="","",EDATE(Долги!$D$5,92))</f>
        <v/>
      </c>
      <c r="C98" s="31">
        <f>SUM(H98:Q98)</f>
        <v>0.0</v>
      </c>
      <c r="D98" s="31">
        <f>SUM(AB98:AK98)</f>
        <v>0.0</v>
      </c>
      <c r="E98" s="31">
        <f>C98-D98</f>
        <v>0.0</v>
      </c>
      <c r="F98" s="31">
        <f>SUM(R98:AA98)</f>
        <v>0.0</v>
      </c>
      <c r="G98" s="34" t="str">
        <f>IF(OR(A98="",$F$5&lt;=0),"",REPT("█",ROUND(20*F98/$F$5,0)))</f>
        <v/>
      </c>
      <c r="H98" s="31">
        <f>AL98+MIN(R97+AB98-AL98,MAX(0,ROUND(Долги!$D$19-SUM($AL98:$AU98),2)))</f>
        <v>0.0</v>
      </c>
      <c r="I98" s="31">
        <f>AM98+MIN(S97+AC98-AM98,MAX(0,ROUND(ROUND(Долги!$D$19-SUM($AL98:$AU98),2)-(SUM($H98:H98)-SUM($AL98:AL98)),2)))</f>
        <v>0.0</v>
      </c>
      <c r="J98" s="31">
        <f>AN98+MIN(T97+AD98-AN98,MAX(0,ROUND(ROUND(Долги!$D$19-SUM($AL98:$AU98),2)-(SUM($H98:I98)-SUM($AL98:AM98)),2)))</f>
        <v>0.0</v>
      </c>
      <c r="K98" s="31">
        <f>AO98+MIN(U97+AE98-AO98,MAX(0,ROUND(ROUND(Долги!$D$19-SUM($AL98:$AU98),2)-(SUM($H98:J98)-SUM($AL98:AN98)),2)))</f>
        <v>0.0</v>
      </c>
      <c r="L98" s="31">
        <f>AP98+MIN(V97+AF98-AP98,MAX(0,ROUND(ROUND(Долги!$D$19-SUM($AL98:$AU98),2)-(SUM($H98:K98)-SUM($AL98:AO98)),2)))</f>
        <v>0.0</v>
      </c>
      <c r="M98" s="31">
        <f>AQ98+MIN(W97+AG98-AQ98,MAX(0,ROUND(ROUND(Долги!$D$19-SUM($AL98:$AU98),2)-(SUM($H98:L98)-SUM($AL98:AP98)),2)))</f>
        <v>0.0</v>
      </c>
      <c r="N98" s="31">
        <f>AR98+MIN(X97+AH98-AR98,MAX(0,ROUND(ROUND(Долги!$D$19-SUM($AL98:$AU98),2)-(SUM($H98:M98)-SUM($AL98:AQ98)),2)))</f>
        <v>0.0</v>
      </c>
      <c r="O98" s="31">
        <f>AS98+MIN(Y97+AI98-AS98,MAX(0,ROUND(ROUND(Долги!$D$19-SUM($AL98:$AU98),2)-(SUM($H98:N98)-SUM($AL98:AR98)),2)))</f>
        <v>0.0</v>
      </c>
      <c r="P98" s="31">
        <f>AT98+MIN(Z97+AJ98-AT98,MAX(0,ROUND(ROUND(Долги!$D$19-SUM($AL98:$AU98),2)-(SUM($H98:O98)-SUM($AL98:AS98)),2)))</f>
        <v>0.0</v>
      </c>
      <c r="Q98" s="31">
        <f>AU98+MIN(AA97+AK98-AU98,MAX(0,ROUND(ROUND(Долги!$D$19-SUM($AL98:$AU98),2)-(SUM($H98:P98)-SUM($AL98:AT98)),2)))</f>
        <v>0.0</v>
      </c>
      <c r="R98" s="31">
        <f>IF(R97+AB98-H98&lt;=0.01,0,ROUND(R97+AB98-H98,2))</f>
        <v>0.0</v>
      </c>
      <c r="S98" s="31">
        <f>IF(S97+AC98-I98&lt;=0.01,0,ROUND(S97+AC98-I98,2))</f>
        <v>0.0</v>
      </c>
      <c r="T98" s="31">
        <f>IF(T97+AD98-J98&lt;=0.01,0,ROUND(T97+AD98-J98,2))</f>
        <v>0.0</v>
      </c>
      <c r="U98" s="31">
        <f>IF(U97+AE98-K98&lt;=0.01,0,ROUND(U97+AE98-K98,2))</f>
        <v>0.0</v>
      </c>
      <c r="V98" s="31">
        <f>IF(V97+AF98-L98&lt;=0.01,0,ROUND(V97+AF98-L98,2))</f>
        <v>0.0</v>
      </c>
      <c r="W98" s="31">
        <f>IF(W97+AG98-M98&lt;=0.01,0,ROUND(W97+AG98-M98,2))</f>
        <v>0.0</v>
      </c>
      <c r="X98" s="31">
        <f>IF(X97+AH98-N98&lt;=0.01,0,ROUND(X97+AH98-N98,2))</f>
        <v>0.0</v>
      </c>
      <c r="Y98" s="31">
        <f>IF(Y97+AI98-O98&lt;=0.01,0,ROUND(Y97+AI98-O98,2))</f>
        <v>0.0</v>
      </c>
      <c r="Z98" s="31">
        <f>IF(Z97+AJ98-P98&lt;=0.01,0,ROUND(Z97+AJ98-P98,2))</f>
        <v>0.0</v>
      </c>
      <c r="AA98" s="31">
        <f>IF(AA97+AK98-Q98&lt;=0.01,0,ROUND(AA97+AK98-Q98,2))</f>
        <v>0.0</v>
      </c>
      <c r="AB98" s="31">
        <f>ROUND(R97*AB$5/1200,2)</f>
        <v>0.0</v>
      </c>
      <c r="AC98" s="31">
        <f>ROUND(S97*AC$5/1200,2)</f>
        <v>0.0</v>
      </c>
      <c r="AD98" s="31">
        <f>ROUND(T97*AD$5/1200,2)</f>
        <v>0.0</v>
      </c>
      <c r="AE98" s="31">
        <f>ROUND(U97*AE$5/1200,2)</f>
        <v>0.0</v>
      </c>
      <c r="AF98" s="31">
        <f>ROUND(V97*AF$5/1200,2)</f>
        <v>0.0</v>
      </c>
      <c r="AG98" s="31">
        <f>ROUND(W97*AG$5/1200,2)</f>
        <v>0.0</v>
      </c>
      <c r="AH98" s="31">
        <f>ROUND(X97*AH$5/1200,2)</f>
        <v>0.0</v>
      </c>
      <c r="AI98" s="31">
        <f>ROUND(Y97*AI$5/1200,2)</f>
        <v>0.0</v>
      </c>
      <c r="AJ98" s="31">
        <f>ROUND(Z97*AJ$5/1200,2)</f>
        <v>0.0</v>
      </c>
      <c r="AK98" s="31">
        <f>ROUND(AA97*AK$5/1200,2)</f>
        <v>0.0</v>
      </c>
      <c r="AL98" s="31">
        <f>MIN(AL$5,R97+AB98)</f>
        <v>0.0</v>
      </c>
      <c r="AM98" s="31">
        <f>MIN(AM$5,S97+AC98)</f>
        <v>0.0</v>
      </c>
      <c r="AN98" s="31">
        <f>MIN(AN$5,T97+AD98)</f>
        <v>0.0</v>
      </c>
      <c r="AO98" s="31">
        <f>MIN(AO$5,U97+AE98)</f>
        <v>0.0</v>
      </c>
      <c r="AP98" s="31">
        <f>MIN(AP$5,V97+AF98)</f>
        <v>0.0</v>
      </c>
      <c r="AQ98" s="31">
        <f>MIN(AQ$5,W97+AG98)</f>
        <v>0.0</v>
      </c>
      <c r="AR98" s="31">
        <f>MIN(AR$5,X97+AH98)</f>
        <v>0.0</v>
      </c>
      <c r="AS98" s="31">
        <f>MIN(AS$5,Y97+AI98)</f>
        <v>0.0</v>
      </c>
      <c r="AT98" s="31">
        <f>MIN(AT$5,Z97+AJ98)</f>
        <v>0.0</v>
      </c>
      <c r="AU98" s="31">
        <f>MIN(AU$5,AA97+AK98)</f>
        <v>0.0</v>
      </c>
    </row>
    <row r="99">
      <c r="A99" s="25" t="str">
        <f>IF(F98&gt;0.005,94,"")</f>
        <v/>
      </c>
      <c r="B99" s="33" t="str">
        <f>IF(A99="","",EDATE(Долги!$D$5,93))</f>
        <v/>
      </c>
      <c r="C99" s="31">
        <f>SUM(H99:Q99)</f>
        <v>0.0</v>
      </c>
      <c r="D99" s="31">
        <f>SUM(AB99:AK99)</f>
        <v>0.0</v>
      </c>
      <c r="E99" s="31">
        <f>C99-D99</f>
        <v>0.0</v>
      </c>
      <c r="F99" s="31">
        <f>SUM(R99:AA99)</f>
        <v>0.0</v>
      </c>
      <c r="G99" s="34" t="str">
        <f>IF(OR(A99="",$F$5&lt;=0),"",REPT("█",ROUND(20*F99/$F$5,0)))</f>
        <v/>
      </c>
      <c r="H99" s="31">
        <f>AL99+MIN(R98+AB99-AL99,MAX(0,ROUND(Долги!$D$19-SUM($AL99:$AU99),2)))</f>
        <v>0.0</v>
      </c>
      <c r="I99" s="31">
        <f>AM99+MIN(S98+AC99-AM99,MAX(0,ROUND(ROUND(Долги!$D$19-SUM($AL99:$AU99),2)-(SUM($H99:H99)-SUM($AL99:AL99)),2)))</f>
        <v>0.0</v>
      </c>
      <c r="J99" s="31">
        <f>AN99+MIN(T98+AD99-AN99,MAX(0,ROUND(ROUND(Долги!$D$19-SUM($AL99:$AU99),2)-(SUM($H99:I99)-SUM($AL99:AM99)),2)))</f>
        <v>0.0</v>
      </c>
      <c r="K99" s="31">
        <f>AO99+MIN(U98+AE99-AO99,MAX(0,ROUND(ROUND(Долги!$D$19-SUM($AL99:$AU99),2)-(SUM($H99:J99)-SUM($AL99:AN99)),2)))</f>
        <v>0.0</v>
      </c>
      <c r="L99" s="31">
        <f>AP99+MIN(V98+AF99-AP99,MAX(0,ROUND(ROUND(Долги!$D$19-SUM($AL99:$AU99),2)-(SUM($H99:K99)-SUM($AL99:AO99)),2)))</f>
        <v>0.0</v>
      </c>
      <c r="M99" s="31">
        <f>AQ99+MIN(W98+AG99-AQ99,MAX(0,ROUND(ROUND(Долги!$D$19-SUM($AL99:$AU99),2)-(SUM($H99:L99)-SUM($AL99:AP99)),2)))</f>
        <v>0.0</v>
      </c>
      <c r="N99" s="31">
        <f>AR99+MIN(X98+AH99-AR99,MAX(0,ROUND(ROUND(Долги!$D$19-SUM($AL99:$AU99),2)-(SUM($H99:M99)-SUM($AL99:AQ99)),2)))</f>
        <v>0.0</v>
      </c>
      <c r="O99" s="31">
        <f>AS99+MIN(Y98+AI99-AS99,MAX(0,ROUND(ROUND(Долги!$D$19-SUM($AL99:$AU99),2)-(SUM($H99:N99)-SUM($AL99:AR99)),2)))</f>
        <v>0.0</v>
      </c>
      <c r="P99" s="31">
        <f>AT99+MIN(Z98+AJ99-AT99,MAX(0,ROUND(ROUND(Долги!$D$19-SUM($AL99:$AU99),2)-(SUM($H99:O99)-SUM($AL99:AS99)),2)))</f>
        <v>0.0</v>
      </c>
      <c r="Q99" s="31">
        <f>AU99+MIN(AA98+AK99-AU99,MAX(0,ROUND(ROUND(Долги!$D$19-SUM($AL99:$AU99),2)-(SUM($H99:P99)-SUM($AL99:AT99)),2)))</f>
        <v>0.0</v>
      </c>
      <c r="R99" s="31">
        <f>IF(R98+AB99-H99&lt;=0.01,0,ROUND(R98+AB99-H99,2))</f>
        <v>0.0</v>
      </c>
      <c r="S99" s="31">
        <f>IF(S98+AC99-I99&lt;=0.01,0,ROUND(S98+AC99-I99,2))</f>
        <v>0.0</v>
      </c>
      <c r="T99" s="31">
        <f>IF(T98+AD99-J99&lt;=0.01,0,ROUND(T98+AD99-J99,2))</f>
        <v>0.0</v>
      </c>
      <c r="U99" s="31">
        <f>IF(U98+AE99-K99&lt;=0.01,0,ROUND(U98+AE99-K99,2))</f>
        <v>0.0</v>
      </c>
      <c r="V99" s="31">
        <f>IF(V98+AF99-L99&lt;=0.01,0,ROUND(V98+AF99-L99,2))</f>
        <v>0.0</v>
      </c>
      <c r="W99" s="31">
        <f>IF(W98+AG99-M99&lt;=0.01,0,ROUND(W98+AG99-M99,2))</f>
        <v>0.0</v>
      </c>
      <c r="X99" s="31">
        <f>IF(X98+AH99-N99&lt;=0.01,0,ROUND(X98+AH99-N99,2))</f>
        <v>0.0</v>
      </c>
      <c r="Y99" s="31">
        <f>IF(Y98+AI99-O99&lt;=0.01,0,ROUND(Y98+AI99-O99,2))</f>
        <v>0.0</v>
      </c>
      <c r="Z99" s="31">
        <f>IF(Z98+AJ99-P99&lt;=0.01,0,ROUND(Z98+AJ99-P99,2))</f>
        <v>0.0</v>
      </c>
      <c r="AA99" s="31">
        <f>IF(AA98+AK99-Q99&lt;=0.01,0,ROUND(AA98+AK99-Q99,2))</f>
        <v>0.0</v>
      </c>
      <c r="AB99" s="31">
        <f>ROUND(R98*AB$5/1200,2)</f>
        <v>0.0</v>
      </c>
      <c r="AC99" s="31">
        <f>ROUND(S98*AC$5/1200,2)</f>
        <v>0.0</v>
      </c>
      <c r="AD99" s="31">
        <f>ROUND(T98*AD$5/1200,2)</f>
        <v>0.0</v>
      </c>
      <c r="AE99" s="31">
        <f>ROUND(U98*AE$5/1200,2)</f>
        <v>0.0</v>
      </c>
      <c r="AF99" s="31">
        <f>ROUND(V98*AF$5/1200,2)</f>
        <v>0.0</v>
      </c>
      <c r="AG99" s="31">
        <f>ROUND(W98*AG$5/1200,2)</f>
        <v>0.0</v>
      </c>
      <c r="AH99" s="31">
        <f>ROUND(X98*AH$5/1200,2)</f>
        <v>0.0</v>
      </c>
      <c r="AI99" s="31">
        <f>ROUND(Y98*AI$5/1200,2)</f>
        <v>0.0</v>
      </c>
      <c r="AJ99" s="31">
        <f>ROUND(Z98*AJ$5/1200,2)</f>
        <v>0.0</v>
      </c>
      <c r="AK99" s="31">
        <f>ROUND(AA98*AK$5/1200,2)</f>
        <v>0.0</v>
      </c>
      <c r="AL99" s="31">
        <f>MIN(AL$5,R98+AB99)</f>
        <v>0.0</v>
      </c>
      <c r="AM99" s="31">
        <f>MIN(AM$5,S98+AC99)</f>
        <v>0.0</v>
      </c>
      <c r="AN99" s="31">
        <f>MIN(AN$5,T98+AD99)</f>
        <v>0.0</v>
      </c>
      <c r="AO99" s="31">
        <f>MIN(AO$5,U98+AE99)</f>
        <v>0.0</v>
      </c>
      <c r="AP99" s="31">
        <f>MIN(AP$5,V98+AF99)</f>
        <v>0.0</v>
      </c>
      <c r="AQ99" s="31">
        <f>MIN(AQ$5,W98+AG99)</f>
        <v>0.0</v>
      </c>
      <c r="AR99" s="31">
        <f>MIN(AR$5,X98+AH99)</f>
        <v>0.0</v>
      </c>
      <c r="AS99" s="31">
        <f>MIN(AS$5,Y98+AI99)</f>
        <v>0.0</v>
      </c>
      <c r="AT99" s="31">
        <f>MIN(AT$5,Z98+AJ99)</f>
        <v>0.0</v>
      </c>
      <c r="AU99" s="31">
        <f>MIN(AU$5,AA98+AK99)</f>
        <v>0.0</v>
      </c>
    </row>
    <row r="100">
      <c r="A100" s="25" t="str">
        <f>IF(F99&gt;0.005,95,"")</f>
        <v/>
      </c>
      <c r="B100" s="33" t="str">
        <f>IF(A100="","",EDATE(Долги!$D$5,94))</f>
        <v/>
      </c>
      <c r="C100" s="31">
        <f>SUM(H100:Q100)</f>
        <v>0.0</v>
      </c>
      <c r="D100" s="31">
        <f>SUM(AB100:AK100)</f>
        <v>0.0</v>
      </c>
      <c r="E100" s="31">
        <f>C100-D100</f>
        <v>0.0</v>
      </c>
      <c r="F100" s="31">
        <f>SUM(R100:AA100)</f>
        <v>0.0</v>
      </c>
      <c r="G100" s="34" t="str">
        <f>IF(OR(A100="",$F$5&lt;=0),"",REPT("█",ROUND(20*F100/$F$5,0)))</f>
        <v/>
      </c>
      <c r="H100" s="31">
        <f>AL100+MIN(R99+AB100-AL100,MAX(0,ROUND(Долги!$D$19-SUM($AL100:$AU100),2)))</f>
        <v>0.0</v>
      </c>
      <c r="I100" s="31">
        <f>AM100+MIN(S99+AC100-AM100,MAX(0,ROUND(ROUND(Долги!$D$19-SUM($AL100:$AU100),2)-(SUM($H100:H100)-SUM($AL100:AL100)),2)))</f>
        <v>0.0</v>
      </c>
      <c r="J100" s="31">
        <f>AN100+MIN(T99+AD100-AN100,MAX(0,ROUND(ROUND(Долги!$D$19-SUM($AL100:$AU100),2)-(SUM($H100:I100)-SUM($AL100:AM100)),2)))</f>
        <v>0.0</v>
      </c>
      <c r="K100" s="31">
        <f>AO100+MIN(U99+AE100-AO100,MAX(0,ROUND(ROUND(Долги!$D$19-SUM($AL100:$AU100),2)-(SUM($H100:J100)-SUM($AL100:AN100)),2)))</f>
        <v>0.0</v>
      </c>
      <c r="L100" s="31">
        <f>AP100+MIN(V99+AF100-AP100,MAX(0,ROUND(ROUND(Долги!$D$19-SUM($AL100:$AU100),2)-(SUM($H100:K100)-SUM($AL100:AO100)),2)))</f>
        <v>0.0</v>
      </c>
      <c r="M100" s="31">
        <f>AQ100+MIN(W99+AG100-AQ100,MAX(0,ROUND(ROUND(Долги!$D$19-SUM($AL100:$AU100),2)-(SUM($H100:L100)-SUM($AL100:AP100)),2)))</f>
        <v>0.0</v>
      </c>
      <c r="N100" s="31">
        <f>AR100+MIN(X99+AH100-AR100,MAX(0,ROUND(ROUND(Долги!$D$19-SUM($AL100:$AU100),2)-(SUM($H100:M100)-SUM($AL100:AQ100)),2)))</f>
        <v>0.0</v>
      </c>
      <c r="O100" s="31">
        <f>AS100+MIN(Y99+AI100-AS100,MAX(0,ROUND(ROUND(Долги!$D$19-SUM($AL100:$AU100),2)-(SUM($H100:N100)-SUM($AL100:AR100)),2)))</f>
        <v>0.0</v>
      </c>
      <c r="P100" s="31">
        <f>AT100+MIN(Z99+AJ100-AT100,MAX(0,ROUND(ROUND(Долги!$D$19-SUM($AL100:$AU100),2)-(SUM($H100:O100)-SUM($AL100:AS100)),2)))</f>
        <v>0.0</v>
      </c>
      <c r="Q100" s="31">
        <f>AU100+MIN(AA99+AK100-AU100,MAX(0,ROUND(ROUND(Долги!$D$19-SUM($AL100:$AU100),2)-(SUM($H100:P100)-SUM($AL100:AT100)),2)))</f>
        <v>0.0</v>
      </c>
      <c r="R100" s="31">
        <f>IF(R99+AB100-H100&lt;=0.01,0,ROUND(R99+AB100-H100,2))</f>
        <v>0.0</v>
      </c>
      <c r="S100" s="31">
        <f>IF(S99+AC100-I100&lt;=0.01,0,ROUND(S99+AC100-I100,2))</f>
        <v>0.0</v>
      </c>
      <c r="T100" s="31">
        <f>IF(T99+AD100-J100&lt;=0.01,0,ROUND(T99+AD100-J100,2))</f>
        <v>0.0</v>
      </c>
      <c r="U100" s="31">
        <f>IF(U99+AE100-K100&lt;=0.01,0,ROUND(U99+AE100-K100,2))</f>
        <v>0.0</v>
      </c>
      <c r="V100" s="31">
        <f>IF(V99+AF100-L100&lt;=0.01,0,ROUND(V99+AF100-L100,2))</f>
        <v>0.0</v>
      </c>
      <c r="W100" s="31">
        <f>IF(W99+AG100-M100&lt;=0.01,0,ROUND(W99+AG100-M100,2))</f>
        <v>0.0</v>
      </c>
      <c r="X100" s="31">
        <f>IF(X99+AH100-N100&lt;=0.01,0,ROUND(X99+AH100-N100,2))</f>
        <v>0.0</v>
      </c>
      <c r="Y100" s="31">
        <f>IF(Y99+AI100-O100&lt;=0.01,0,ROUND(Y99+AI100-O100,2))</f>
        <v>0.0</v>
      </c>
      <c r="Z100" s="31">
        <f>IF(Z99+AJ100-P100&lt;=0.01,0,ROUND(Z99+AJ100-P100,2))</f>
        <v>0.0</v>
      </c>
      <c r="AA100" s="31">
        <f>IF(AA99+AK100-Q100&lt;=0.01,0,ROUND(AA99+AK100-Q100,2))</f>
        <v>0.0</v>
      </c>
      <c r="AB100" s="31">
        <f>ROUND(R99*AB$5/1200,2)</f>
        <v>0.0</v>
      </c>
      <c r="AC100" s="31">
        <f>ROUND(S99*AC$5/1200,2)</f>
        <v>0.0</v>
      </c>
      <c r="AD100" s="31">
        <f>ROUND(T99*AD$5/1200,2)</f>
        <v>0.0</v>
      </c>
      <c r="AE100" s="31">
        <f>ROUND(U99*AE$5/1200,2)</f>
        <v>0.0</v>
      </c>
      <c r="AF100" s="31">
        <f>ROUND(V99*AF$5/1200,2)</f>
        <v>0.0</v>
      </c>
      <c r="AG100" s="31">
        <f>ROUND(W99*AG$5/1200,2)</f>
        <v>0.0</v>
      </c>
      <c r="AH100" s="31">
        <f>ROUND(X99*AH$5/1200,2)</f>
        <v>0.0</v>
      </c>
      <c r="AI100" s="31">
        <f>ROUND(Y99*AI$5/1200,2)</f>
        <v>0.0</v>
      </c>
      <c r="AJ100" s="31">
        <f>ROUND(Z99*AJ$5/1200,2)</f>
        <v>0.0</v>
      </c>
      <c r="AK100" s="31">
        <f>ROUND(AA99*AK$5/1200,2)</f>
        <v>0.0</v>
      </c>
      <c r="AL100" s="31">
        <f>MIN(AL$5,R99+AB100)</f>
        <v>0.0</v>
      </c>
      <c r="AM100" s="31">
        <f>MIN(AM$5,S99+AC100)</f>
        <v>0.0</v>
      </c>
      <c r="AN100" s="31">
        <f>MIN(AN$5,T99+AD100)</f>
        <v>0.0</v>
      </c>
      <c r="AO100" s="31">
        <f>MIN(AO$5,U99+AE100)</f>
        <v>0.0</v>
      </c>
      <c r="AP100" s="31">
        <f>MIN(AP$5,V99+AF100)</f>
        <v>0.0</v>
      </c>
      <c r="AQ100" s="31">
        <f>MIN(AQ$5,W99+AG100)</f>
        <v>0.0</v>
      </c>
      <c r="AR100" s="31">
        <f>MIN(AR$5,X99+AH100)</f>
        <v>0.0</v>
      </c>
      <c r="AS100" s="31">
        <f>MIN(AS$5,Y99+AI100)</f>
        <v>0.0</v>
      </c>
      <c r="AT100" s="31">
        <f>MIN(AT$5,Z99+AJ100)</f>
        <v>0.0</v>
      </c>
      <c r="AU100" s="31">
        <f>MIN(AU$5,AA99+AK100)</f>
        <v>0.0</v>
      </c>
    </row>
    <row r="101">
      <c r="A101" s="25" t="str">
        <f>IF(F100&gt;0.005,96,"")</f>
        <v/>
      </c>
      <c r="B101" s="33" t="str">
        <f>IF(A101="","",EDATE(Долги!$D$5,95))</f>
        <v/>
      </c>
      <c r="C101" s="31">
        <f>SUM(H101:Q101)</f>
        <v>0.0</v>
      </c>
      <c r="D101" s="31">
        <f>SUM(AB101:AK101)</f>
        <v>0.0</v>
      </c>
      <c r="E101" s="31">
        <f>C101-D101</f>
        <v>0.0</v>
      </c>
      <c r="F101" s="31">
        <f>SUM(R101:AA101)</f>
        <v>0.0</v>
      </c>
      <c r="G101" s="34" t="str">
        <f>IF(OR(A101="",$F$5&lt;=0),"",REPT("█",ROUND(20*F101/$F$5,0)))</f>
        <v/>
      </c>
      <c r="H101" s="31">
        <f>AL101+MIN(R100+AB101-AL101,MAX(0,ROUND(Долги!$D$19-SUM($AL101:$AU101),2)))</f>
        <v>0.0</v>
      </c>
      <c r="I101" s="31">
        <f>AM101+MIN(S100+AC101-AM101,MAX(0,ROUND(ROUND(Долги!$D$19-SUM($AL101:$AU101),2)-(SUM($H101:H101)-SUM($AL101:AL101)),2)))</f>
        <v>0.0</v>
      </c>
      <c r="J101" s="31">
        <f>AN101+MIN(T100+AD101-AN101,MAX(0,ROUND(ROUND(Долги!$D$19-SUM($AL101:$AU101),2)-(SUM($H101:I101)-SUM($AL101:AM101)),2)))</f>
        <v>0.0</v>
      </c>
      <c r="K101" s="31">
        <f>AO101+MIN(U100+AE101-AO101,MAX(0,ROUND(ROUND(Долги!$D$19-SUM($AL101:$AU101),2)-(SUM($H101:J101)-SUM($AL101:AN101)),2)))</f>
        <v>0.0</v>
      </c>
      <c r="L101" s="31">
        <f>AP101+MIN(V100+AF101-AP101,MAX(0,ROUND(ROUND(Долги!$D$19-SUM($AL101:$AU101),2)-(SUM($H101:K101)-SUM($AL101:AO101)),2)))</f>
        <v>0.0</v>
      </c>
      <c r="M101" s="31">
        <f>AQ101+MIN(W100+AG101-AQ101,MAX(0,ROUND(ROUND(Долги!$D$19-SUM($AL101:$AU101),2)-(SUM($H101:L101)-SUM($AL101:AP101)),2)))</f>
        <v>0.0</v>
      </c>
      <c r="N101" s="31">
        <f>AR101+MIN(X100+AH101-AR101,MAX(0,ROUND(ROUND(Долги!$D$19-SUM($AL101:$AU101),2)-(SUM($H101:M101)-SUM($AL101:AQ101)),2)))</f>
        <v>0.0</v>
      </c>
      <c r="O101" s="31">
        <f>AS101+MIN(Y100+AI101-AS101,MAX(0,ROUND(ROUND(Долги!$D$19-SUM($AL101:$AU101),2)-(SUM($H101:N101)-SUM($AL101:AR101)),2)))</f>
        <v>0.0</v>
      </c>
      <c r="P101" s="31">
        <f>AT101+MIN(Z100+AJ101-AT101,MAX(0,ROUND(ROUND(Долги!$D$19-SUM($AL101:$AU101),2)-(SUM($H101:O101)-SUM($AL101:AS101)),2)))</f>
        <v>0.0</v>
      </c>
      <c r="Q101" s="31">
        <f>AU101+MIN(AA100+AK101-AU101,MAX(0,ROUND(ROUND(Долги!$D$19-SUM($AL101:$AU101),2)-(SUM($H101:P101)-SUM($AL101:AT101)),2)))</f>
        <v>0.0</v>
      </c>
      <c r="R101" s="31">
        <f>IF(R100+AB101-H101&lt;=0.01,0,ROUND(R100+AB101-H101,2))</f>
        <v>0.0</v>
      </c>
      <c r="S101" s="31">
        <f>IF(S100+AC101-I101&lt;=0.01,0,ROUND(S100+AC101-I101,2))</f>
        <v>0.0</v>
      </c>
      <c r="T101" s="31">
        <f>IF(T100+AD101-J101&lt;=0.01,0,ROUND(T100+AD101-J101,2))</f>
        <v>0.0</v>
      </c>
      <c r="U101" s="31">
        <f>IF(U100+AE101-K101&lt;=0.01,0,ROUND(U100+AE101-K101,2))</f>
        <v>0.0</v>
      </c>
      <c r="V101" s="31">
        <f>IF(V100+AF101-L101&lt;=0.01,0,ROUND(V100+AF101-L101,2))</f>
        <v>0.0</v>
      </c>
      <c r="W101" s="31">
        <f>IF(W100+AG101-M101&lt;=0.01,0,ROUND(W100+AG101-M101,2))</f>
        <v>0.0</v>
      </c>
      <c r="X101" s="31">
        <f>IF(X100+AH101-N101&lt;=0.01,0,ROUND(X100+AH101-N101,2))</f>
        <v>0.0</v>
      </c>
      <c r="Y101" s="31">
        <f>IF(Y100+AI101-O101&lt;=0.01,0,ROUND(Y100+AI101-O101,2))</f>
        <v>0.0</v>
      </c>
      <c r="Z101" s="31">
        <f>IF(Z100+AJ101-P101&lt;=0.01,0,ROUND(Z100+AJ101-P101,2))</f>
        <v>0.0</v>
      </c>
      <c r="AA101" s="31">
        <f>IF(AA100+AK101-Q101&lt;=0.01,0,ROUND(AA100+AK101-Q101,2))</f>
        <v>0.0</v>
      </c>
      <c r="AB101" s="31">
        <f>ROUND(R100*AB$5/1200,2)</f>
        <v>0.0</v>
      </c>
      <c r="AC101" s="31">
        <f>ROUND(S100*AC$5/1200,2)</f>
        <v>0.0</v>
      </c>
      <c r="AD101" s="31">
        <f>ROUND(T100*AD$5/1200,2)</f>
        <v>0.0</v>
      </c>
      <c r="AE101" s="31">
        <f>ROUND(U100*AE$5/1200,2)</f>
        <v>0.0</v>
      </c>
      <c r="AF101" s="31">
        <f>ROUND(V100*AF$5/1200,2)</f>
        <v>0.0</v>
      </c>
      <c r="AG101" s="31">
        <f>ROUND(W100*AG$5/1200,2)</f>
        <v>0.0</v>
      </c>
      <c r="AH101" s="31">
        <f>ROUND(X100*AH$5/1200,2)</f>
        <v>0.0</v>
      </c>
      <c r="AI101" s="31">
        <f>ROUND(Y100*AI$5/1200,2)</f>
        <v>0.0</v>
      </c>
      <c r="AJ101" s="31">
        <f>ROUND(Z100*AJ$5/1200,2)</f>
        <v>0.0</v>
      </c>
      <c r="AK101" s="31">
        <f>ROUND(AA100*AK$5/1200,2)</f>
        <v>0.0</v>
      </c>
      <c r="AL101" s="31">
        <f>MIN(AL$5,R100+AB101)</f>
        <v>0.0</v>
      </c>
      <c r="AM101" s="31">
        <f>MIN(AM$5,S100+AC101)</f>
        <v>0.0</v>
      </c>
      <c r="AN101" s="31">
        <f>MIN(AN$5,T100+AD101)</f>
        <v>0.0</v>
      </c>
      <c r="AO101" s="31">
        <f>MIN(AO$5,U100+AE101)</f>
        <v>0.0</v>
      </c>
      <c r="AP101" s="31">
        <f>MIN(AP$5,V100+AF101)</f>
        <v>0.0</v>
      </c>
      <c r="AQ101" s="31">
        <f>MIN(AQ$5,W100+AG101)</f>
        <v>0.0</v>
      </c>
      <c r="AR101" s="31">
        <f>MIN(AR$5,X100+AH101)</f>
        <v>0.0</v>
      </c>
      <c r="AS101" s="31">
        <f>MIN(AS$5,Y100+AI101)</f>
        <v>0.0</v>
      </c>
      <c r="AT101" s="31">
        <f>MIN(AT$5,Z100+AJ101)</f>
        <v>0.0</v>
      </c>
      <c r="AU101" s="31">
        <f>MIN(AU$5,AA100+AK101)</f>
        <v>0.0</v>
      </c>
    </row>
    <row r="102">
      <c r="A102" s="25" t="str">
        <f>IF(F101&gt;0.005,97,"")</f>
        <v/>
      </c>
      <c r="B102" s="33" t="str">
        <f>IF(A102="","",EDATE(Долги!$D$5,96))</f>
        <v/>
      </c>
      <c r="C102" s="31">
        <f>SUM(H102:Q102)</f>
        <v>0.0</v>
      </c>
      <c r="D102" s="31">
        <f>SUM(AB102:AK102)</f>
        <v>0.0</v>
      </c>
      <c r="E102" s="31">
        <f>C102-D102</f>
        <v>0.0</v>
      </c>
      <c r="F102" s="31">
        <f>SUM(R102:AA102)</f>
        <v>0.0</v>
      </c>
      <c r="G102" s="34" t="str">
        <f>IF(OR(A102="",$F$5&lt;=0),"",REPT("█",ROUND(20*F102/$F$5,0)))</f>
        <v/>
      </c>
      <c r="H102" s="31">
        <f>AL102+MIN(R101+AB102-AL102,MAX(0,ROUND(Долги!$D$19-SUM($AL102:$AU102),2)))</f>
        <v>0.0</v>
      </c>
      <c r="I102" s="31">
        <f>AM102+MIN(S101+AC102-AM102,MAX(0,ROUND(ROUND(Долги!$D$19-SUM($AL102:$AU102),2)-(SUM($H102:H102)-SUM($AL102:AL102)),2)))</f>
        <v>0.0</v>
      </c>
      <c r="J102" s="31">
        <f>AN102+MIN(T101+AD102-AN102,MAX(0,ROUND(ROUND(Долги!$D$19-SUM($AL102:$AU102),2)-(SUM($H102:I102)-SUM($AL102:AM102)),2)))</f>
        <v>0.0</v>
      </c>
      <c r="K102" s="31">
        <f>AO102+MIN(U101+AE102-AO102,MAX(0,ROUND(ROUND(Долги!$D$19-SUM($AL102:$AU102),2)-(SUM($H102:J102)-SUM($AL102:AN102)),2)))</f>
        <v>0.0</v>
      </c>
      <c r="L102" s="31">
        <f>AP102+MIN(V101+AF102-AP102,MAX(0,ROUND(ROUND(Долги!$D$19-SUM($AL102:$AU102),2)-(SUM($H102:K102)-SUM($AL102:AO102)),2)))</f>
        <v>0.0</v>
      </c>
      <c r="M102" s="31">
        <f>AQ102+MIN(W101+AG102-AQ102,MAX(0,ROUND(ROUND(Долги!$D$19-SUM($AL102:$AU102),2)-(SUM($H102:L102)-SUM($AL102:AP102)),2)))</f>
        <v>0.0</v>
      </c>
      <c r="N102" s="31">
        <f>AR102+MIN(X101+AH102-AR102,MAX(0,ROUND(ROUND(Долги!$D$19-SUM($AL102:$AU102),2)-(SUM($H102:M102)-SUM($AL102:AQ102)),2)))</f>
        <v>0.0</v>
      </c>
      <c r="O102" s="31">
        <f>AS102+MIN(Y101+AI102-AS102,MAX(0,ROUND(ROUND(Долги!$D$19-SUM($AL102:$AU102),2)-(SUM($H102:N102)-SUM($AL102:AR102)),2)))</f>
        <v>0.0</v>
      </c>
      <c r="P102" s="31">
        <f>AT102+MIN(Z101+AJ102-AT102,MAX(0,ROUND(ROUND(Долги!$D$19-SUM($AL102:$AU102),2)-(SUM($H102:O102)-SUM($AL102:AS102)),2)))</f>
        <v>0.0</v>
      </c>
      <c r="Q102" s="31">
        <f>AU102+MIN(AA101+AK102-AU102,MAX(0,ROUND(ROUND(Долги!$D$19-SUM($AL102:$AU102),2)-(SUM($H102:P102)-SUM($AL102:AT102)),2)))</f>
        <v>0.0</v>
      </c>
      <c r="R102" s="31">
        <f>IF(R101+AB102-H102&lt;=0.01,0,ROUND(R101+AB102-H102,2))</f>
        <v>0.0</v>
      </c>
      <c r="S102" s="31">
        <f>IF(S101+AC102-I102&lt;=0.01,0,ROUND(S101+AC102-I102,2))</f>
        <v>0.0</v>
      </c>
      <c r="T102" s="31">
        <f>IF(T101+AD102-J102&lt;=0.01,0,ROUND(T101+AD102-J102,2))</f>
        <v>0.0</v>
      </c>
      <c r="U102" s="31">
        <f>IF(U101+AE102-K102&lt;=0.01,0,ROUND(U101+AE102-K102,2))</f>
        <v>0.0</v>
      </c>
      <c r="V102" s="31">
        <f>IF(V101+AF102-L102&lt;=0.01,0,ROUND(V101+AF102-L102,2))</f>
        <v>0.0</v>
      </c>
      <c r="W102" s="31">
        <f>IF(W101+AG102-M102&lt;=0.01,0,ROUND(W101+AG102-M102,2))</f>
        <v>0.0</v>
      </c>
      <c r="X102" s="31">
        <f>IF(X101+AH102-N102&lt;=0.01,0,ROUND(X101+AH102-N102,2))</f>
        <v>0.0</v>
      </c>
      <c r="Y102" s="31">
        <f>IF(Y101+AI102-O102&lt;=0.01,0,ROUND(Y101+AI102-O102,2))</f>
        <v>0.0</v>
      </c>
      <c r="Z102" s="31">
        <f>IF(Z101+AJ102-P102&lt;=0.01,0,ROUND(Z101+AJ102-P102,2))</f>
        <v>0.0</v>
      </c>
      <c r="AA102" s="31">
        <f>IF(AA101+AK102-Q102&lt;=0.01,0,ROUND(AA101+AK102-Q102,2))</f>
        <v>0.0</v>
      </c>
      <c r="AB102" s="31">
        <f>ROUND(R101*AB$5/1200,2)</f>
        <v>0.0</v>
      </c>
      <c r="AC102" s="31">
        <f>ROUND(S101*AC$5/1200,2)</f>
        <v>0.0</v>
      </c>
      <c r="AD102" s="31">
        <f>ROUND(T101*AD$5/1200,2)</f>
        <v>0.0</v>
      </c>
      <c r="AE102" s="31">
        <f>ROUND(U101*AE$5/1200,2)</f>
        <v>0.0</v>
      </c>
      <c r="AF102" s="31">
        <f>ROUND(V101*AF$5/1200,2)</f>
        <v>0.0</v>
      </c>
      <c r="AG102" s="31">
        <f>ROUND(W101*AG$5/1200,2)</f>
        <v>0.0</v>
      </c>
      <c r="AH102" s="31">
        <f>ROUND(X101*AH$5/1200,2)</f>
        <v>0.0</v>
      </c>
      <c r="AI102" s="31">
        <f>ROUND(Y101*AI$5/1200,2)</f>
        <v>0.0</v>
      </c>
      <c r="AJ102" s="31">
        <f>ROUND(Z101*AJ$5/1200,2)</f>
        <v>0.0</v>
      </c>
      <c r="AK102" s="31">
        <f>ROUND(AA101*AK$5/1200,2)</f>
        <v>0.0</v>
      </c>
      <c r="AL102" s="31">
        <f>MIN(AL$5,R101+AB102)</f>
        <v>0.0</v>
      </c>
      <c r="AM102" s="31">
        <f>MIN(AM$5,S101+AC102)</f>
        <v>0.0</v>
      </c>
      <c r="AN102" s="31">
        <f>MIN(AN$5,T101+AD102)</f>
        <v>0.0</v>
      </c>
      <c r="AO102" s="31">
        <f>MIN(AO$5,U101+AE102)</f>
        <v>0.0</v>
      </c>
      <c r="AP102" s="31">
        <f>MIN(AP$5,V101+AF102)</f>
        <v>0.0</v>
      </c>
      <c r="AQ102" s="31">
        <f>MIN(AQ$5,W101+AG102)</f>
        <v>0.0</v>
      </c>
      <c r="AR102" s="31">
        <f>MIN(AR$5,X101+AH102)</f>
        <v>0.0</v>
      </c>
      <c r="AS102" s="31">
        <f>MIN(AS$5,Y101+AI102)</f>
        <v>0.0</v>
      </c>
      <c r="AT102" s="31">
        <f>MIN(AT$5,Z101+AJ102)</f>
        <v>0.0</v>
      </c>
      <c r="AU102" s="31">
        <f>MIN(AU$5,AA101+AK102)</f>
        <v>0.0</v>
      </c>
    </row>
    <row r="103">
      <c r="A103" s="25" t="str">
        <f>IF(F102&gt;0.005,98,"")</f>
        <v/>
      </c>
      <c r="B103" s="33" t="str">
        <f>IF(A103="","",EDATE(Долги!$D$5,97))</f>
        <v/>
      </c>
      <c r="C103" s="31">
        <f>SUM(H103:Q103)</f>
        <v>0.0</v>
      </c>
      <c r="D103" s="31">
        <f>SUM(AB103:AK103)</f>
        <v>0.0</v>
      </c>
      <c r="E103" s="31">
        <f>C103-D103</f>
        <v>0.0</v>
      </c>
      <c r="F103" s="31">
        <f>SUM(R103:AA103)</f>
        <v>0.0</v>
      </c>
      <c r="G103" s="34" t="str">
        <f>IF(OR(A103="",$F$5&lt;=0),"",REPT("█",ROUND(20*F103/$F$5,0)))</f>
        <v/>
      </c>
      <c r="H103" s="31">
        <f>AL103+MIN(R102+AB103-AL103,MAX(0,ROUND(Долги!$D$19-SUM($AL103:$AU103),2)))</f>
        <v>0.0</v>
      </c>
      <c r="I103" s="31">
        <f>AM103+MIN(S102+AC103-AM103,MAX(0,ROUND(ROUND(Долги!$D$19-SUM($AL103:$AU103),2)-(SUM($H103:H103)-SUM($AL103:AL103)),2)))</f>
        <v>0.0</v>
      </c>
      <c r="J103" s="31">
        <f>AN103+MIN(T102+AD103-AN103,MAX(0,ROUND(ROUND(Долги!$D$19-SUM($AL103:$AU103),2)-(SUM($H103:I103)-SUM($AL103:AM103)),2)))</f>
        <v>0.0</v>
      </c>
      <c r="K103" s="31">
        <f>AO103+MIN(U102+AE103-AO103,MAX(0,ROUND(ROUND(Долги!$D$19-SUM($AL103:$AU103),2)-(SUM($H103:J103)-SUM($AL103:AN103)),2)))</f>
        <v>0.0</v>
      </c>
      <c r="L103" s="31">
        <f>AP103+MIN(V102+AF103-AP103,MAX(0,ROUND(ROUND(Долги!$D$19-SUM($AL103:$AU103),2)-(SUM($H103:K103)-SUM($AL103:AO103)),2)))</f>
        <v>0.0</v>
      </c>
      <c r="M103" s="31">
        <f>AQ103+MIN(W102+AG103-AQ103,MAX(0,ROUND(ROUND(Долги!$D$19-SUM($AL103:$AU103),2)-(SUM($H103:L103)-SUM($AL103:AP103)),2)))</f>
        <v>0.0</v>
      </c>
      <c r="N103" s="31">
        <f>AR103+MIN(X102+AH103-AR103,MAX(0,ROUND(ROUND(Долги!$D$19-SUM($AL103:$AU103),2)-(SUM($H103:M103)-SUM($AL103:AQ103)),2)))</f>
        <v>0.0</v>
      </c>
      <c r="O103" s="31">
        <f>AS103+MIN(Y102+AI103-AS103,MAX(0,ROUND(ROUND(Долги!$D$19-SUM($AL103:$AU103),2)-(SUM($H103:N103)-SUM($AL103:AR103)),2)))</f>
        <v>0.0</v>
      </c>
      <c r="P103" s="31">
        <f>AT103+MIN(Z102+AJ103-AT103,MAX(0,ROUND(ROUND(Долги!$D$19-SUM($AL103:$AU103),2)-(SUM($H103:O103)-SUM($AL103:AS103)),2)))</f>
        <v>0.0</v>
      </c>
      <c r="Q103" s="31">
        <f>AU103+MIN(AA102+AK103-AU103,MAX(0,ROUND(ROUND(Долги!$D$19-SUM($AL103:$AU103),2)-(SUM($H103:P103)-SUM($AL103:AT103)),2)))</f>
        <v>0.0</v>
      </c>
      <c r="R103" s="31">
        <f>IF(R102+AB103-H103&lt;=0.01,0,ROUND(R102+AB103-H103,2))</f>
        <v>0.0</v>
      </c>
      <c r="S103" s="31">
        <f>IF(S102+AC103-I103&lt;=0.01,0,ROUND(S102+AC103-I103,2))</f>
        <v>0.0</v>
      </c>
      <c r="T103" s="31">
        <f>IF(T102+AD103-J103&lt;=0.01,0,ROUND(T102+AD103-J103,2))</f>
        <v>0.0</v>
      </c>
      <c r="U103" s="31">
        <f>IF(U102+AE103-K103&lt;=0.01,0,ROUND(U102+AE103-K103,2))</f>
        <v>0.0</v>
      </c>
      <c r="V103" s="31">
        <f>IF(V102+AF103-L103&lt;=0.01,0,ROUND(V102+AF103-L103,2))</f>
        <v>0.0</v>
      </c>
      <c r="W103" s="31">
        <f>IF(W102+AG103-M103&lt;=0.01,0,ROUND(W102+AG103-M103,2))</f>
        <v>0.0</v>
      </c>
      <c r="X103" s="31">
        <f>IF(X102+AH103-N103&lt;=0.01,0,ROUND(X102+AH103-N103,2))</f>
        <v>0.0</v>
      </c>
      <c r="Y103" s="31">
        <f>IF(Y102+AI103-O103&lt;=0.01,0,ROUND(Y102+AI103-O103,2))</f>
        <v>0.0</v>
      </c>
      <c r="Z103" s="31">
        <f>IF(Z102+AJ103-P103&lt;=0.01,0,ROUND(Z102+AJ103-P103,2))</f>
        <v>0.0</v>
      </c>
      <c r="AA103" s="31">
        <f>IF(AA102+AK103-Q103&lt;=0.01,0,ROUND(AA102+AK103-Q103,2))</f>
        <v>0.0</v>
      </c>
      <c r="AB103" s="31">
        <f>ROUND(R102*AB$5/1200,2)</f>
        <v>0.0</v>
      </c>
      <c r="AC103" s="31">
        <f>ROUND(S102*AC$5/1200,2)</f>
        <v>0.0</v>
      </c>
      <c r="AD103" s="31">
        <f>ROUND(T102*AD$5/1200,2)</f>
        <v>0.0</v>
      </c>
      <c r="AE103" s="31">
        <f>ROUND(U102*AE$5/1200,2)</f>
        <v>0.0</v>
      </c>
      <c r="AF103" s="31">
        <f>ROUND(V102*AF$5/1200,2)</f>
        <v>0.0</v>
      </c>
      <c r="AG103" s="31">
        <f>ROUND(W102*AG$5/1200,2)</f>
        <v>0.0</v>
      </c>
      <c r="AH103" s="31">
        <f>ROUND(X102*AH$5/1200,2)</f>
        <v>0.0</v>
      </c>
      <c r="AI103" s="31">
        <f>ROUND(Y102*AI$5/1200,2)</f>
        <v>0.0</v>
      </c>
      <c r="AJ103" s="31">
        <f>ROUND(Z102*AJ$5/1200,2)</f>
        <v>0.0</v>
      </c>
      <c r="AK103" s="31">
        <f>ROUND(AA102*AK$5/1200,2)</f>
        <v>0.0</v>
      </c>
      <c r="AL103" s="31">
        <f>MIN(AL$5,R102+AB103)</f>
        <v>0.0</v>
      </c>
      <c r="AM103" s="31">
        <f>MIN(AM$5,S102+AC103)</f>
        <v>0.0</v>
      </c>
      <c r="AN103" s="31">
        <f>MIN(AN$5,T102+AD103)</f>
        <v>0.0</v>
      </c>
      <c r="AO103" s="31">
        <f>MIN(AO$5,U102+AE103)</f>
        <v>0.0</v>
      </c>
      <c r="AP103" s="31">
        <f>MIN(AP$5,V102+AF103)</f>
        <v>0.0</v>
      </c>
      <c r="AQ103" s="31">
        <f>MIN(AQ$5,W102+AG103)</f>
        <v>0.0</v>
      </c>
      <c r="AR103" s="31">
        <f>MIN(AR$5,X102+AH103)</f>
        <v>0.0</v>
      </c>
      <c r="AS103" s="31">
        <f>MIN(AS$5,Y102+AI103)</f>
        <v>0.0</v>
      </c>
      <c r="AT103" s="31">
        <f>MIN(AT$5,Z102+AJ103)</f>
        <v>0.0</v>
      </c>
      <c r="AU103" s="31">
        <f>MIN(AU$5,AA102+AK103)</f>
        <v>0.0</v>
      </c>
    </row>
    <row r="104">
      <c r="A104" s="25" t="str">
        <f>IF(F103&gt;0.005,99,"")</f>
        <v/>
      </c>
      <c r="B104" s="33" t="str">
        <f>IF(A104="","",EDATE(Долги!$D$5,98))</f>
        <v/>
      </c>
      <c r="C104" s="31">
        <f>SUM(H104:Q104)</f>
        <v>0.0</v>
      </c>
      <c r="D104" s="31">
        <f>SUM(AB104:AK104)</f>
        <v>0.0</v>
      </c>
      <c r="E104" s="31">
        <f>C104-D104</f>
        <v>0.0</v>
      </c>
      <c r="F104" s="31">
        <f>SUM(R104:AA104)</f>
        <v>0.0</v>
      </c>
      <c r="G104" s="34" t="str">
        <f>IF(OR(A104="",$F$5&lt;=0),"",REPT("█",ROUND(20*F104/$F$5,0)))</f>
        <v/>
      </c>
      <c r="H104" s="31">
        <f>AL104+MIN(R103+AB104-AL104,MAX(0,ROUND(Долги!$D$19-SUM($AL104:$AU104),2)))</f>
        <v>0.0</v>
      </c>
      <c r="I104" s="31">
        <f>AM104+MIN(S103+AC104-AM104,MAX(0,ROUND(ROUND(Долги!$D$19-SUM($AL104:$AU104),2)-(SUM($H104:H104)-SUM($AL104:AL104)),2)))</f>
        <v>0.0</v>
      </c>
      <c r="J104" s="31">
        <f>AN104+MIN(T103+AD104-AN104,MAX(0,ROUND(ROUND(Долги!$D$19-SUM($AL104:$AU104),2)-(SUM($H104:I104)-SUM($AL104:AM104)),2)))</f>
        <v>0.0</v>
      </c>
      <c r="K104" s="31">
        <f>AO104+MIN(U103+AE104-AO104,MAX(0,ROUND(ROUND(Долги!$D$19-SUM($AL104:$AU104),2)-(SUM($H104:J104)-SUM($AL104:AN104)),2)))</f>
        <v>0.0</v>
      </c>
      <c r="L104" s="31">
        <f>AP104+MIN(V103+AF104-AP104,MAX(0,ROUND(ROUND(Долги!$D$19-SUM($AL104:$AU104),2)-(SUM($H104:K104)-SUM($AL104:AO104)),2)))</f>
        <v>0.0</v>
      </c>
      <c r="M104" s="31">
        <f>AQ104+MIN(W103+AG104-AQ104,MAX(0,ROUND(ROUND(Долги!$D$19-SUM($AL104:$AU104),2)-(SUM($H104:L104)-SUM($AL104:AP104)),2)))</f>
        <v>0.0</v>
      </c>
      <c r="N104" s="31">
        <f>AR104+MIN(X103+AH104-AR104,MAX(0,ROUND(ROUND(Долги!$D$19-SUM($AL104:$AU104),2)-(SUM($H104:M104)-SUM($AL104:AQ104)),2)))</f>
        <v>0.0</v>
      </c>
      <c r="O104" s="31">
        <f>AS104+MIN(Y103+AI104-AS104,MAX(0,ROUND(ROUND(Долги!$D$19-SUM($AL104:$AU104),2)-(SUM($H104:N104)-SUM($AL104:AR104)),2)))</f>
        <v>0.0</v>
      </c>
      <c r="P104" s="31">
        <f>AT104+MIN(Z103+AJ104-AT104,MAX(0,ROUND(ROUND(Долги!$D$19-SUM($AL104:$AU104),2)-(SUM($H104:O104)-SUM($AL104:AS104)),2)))</f>
        <v>0.0</v>
      </c>
      <c r="Q104" s="31">
        <f>AU104+MIN(AA103+AK104-AU104,MAX(0,ROUND(ROUND(Долги!$D$19-SUM($AL104:$AU104),2)-(SUM($H104:P104)-SUM($AL104:AT104)),2)))</f>
        <v>0.0</v>
      </c>
      <c r="R104" s="31">
        <f>IF(R103+AB104-H104&lt;=0.01,0,ROUND(R103+AB104-H104,2))</f>
        <v>0.0</v>
      </c>
      <c r="S104" s="31">
        <f>IF(S103+AC104-I104&lt;=0.01,0,ROUND(S103+AC104-I104,2))</f>
        <v>0.0</v>
      </c>
      <c r="T104" s="31">
        <f>IF(T103+AD104-J104&lt;=0.01,0,ROUND(T103+AD104-J104,2))</f>
        <v>0.0</v>
      </c>
      <c r="U104" s="31">
        <f>IF(U103+AE104-K104&lt;=0.01,0,ROUND(U103+AE104-K104,2))</f>
        <v>0.0</v>
      </c>
      <c r="V104" s="31">
        <f>IF(V103+AF104-L104&lt;=0.01,0,ROUND(V103+AF104-L104,2))</f>
        <v>0.0</v>
      </c>
      <c r="W104" s="31">
        <f>IF(W103+AG104-M104&lt;=0.01,0,ROUND(W103+AG104-M104,2))</f>
        <v>0.0</v>
      </c>
      <c r="X104" s="31">
        <f>IF(X103+AH104-N104&lt;=0.01,0,ROUND(X103+AH104-N104,2))</f>
        <v>0.0</v>
      </c>
      <c r="Y104" s="31">
        <f>IF(Y103+AI104-O104&lt;=0.01,0,ROUND(Y103+AI104-O104,2))</f>
        <v>0.0</v>
      </c>
      <c r="Z104" s="31">
        <f>IF(Z103+AJ104-P104&lt;=0.01,0,ROUND(Z103+AJ104-P104,2))</f>
        <v>0.0</v>
      </c>
      <c r="AA104" s="31">
        <f>IF(AA103+AK104-Q104&lt;=0.01,0,ROUND(AA103+AK104-Q104,2))</f>
        <v>0.0</v>
      </c>
      <c r="AB104" s="31">
        <f>ROUND(R103*AB$5/1200,2)</f>
        <v>0.0</v>
      </c>
      <c r="AC104" s="31">
        <f>ROUND(S103*AC$5/1200,2)</f>
        <v>0.0</v>
      </c>
      <c r="AD104" s="31">
        <f>ROUND(T103*AD$5/1200,2)</f>
        <v>0.0</v>
      </c>
      <c r="AE104" s="31">
        <f>ROUND(U103*AE$5/1200,2)</f>
        <v>0.0</v>
      </c>
      <c r="AF104" s="31">
        <f>ROUND(V103*AF$5/1200,2)</f>
        <v>0.0</v>
      </c>
      <c r="AG104" s="31">
        <f>ROUND(W103*AG$5/1200,2)</f>
        <v>0.0</v>
      </c>
      <c r="AH104" s="31">
        <f>ROUND(X103*AH$5/1200,2)</f>
        <v>0.0</v>
      </c>
      <c r="AI104" s="31">
        <f>ROUND(Y103*AI$5/1200,2)</f>
        <v>0.0</v>
      </c>
      <c r="AJ104" s="31">
        <f>ROUND(Z103*AJ$5/1200,2)</f>
        <v>0.0</v>
      </c>
      <c r="AK104" s="31">
        <f>ROUND(AA103*AK$5/1200,2)</f>
        <v>0.0</v>
      </c>
      <c r="AL104" s="31">
        <f>MIN(AL$5,R103+AB104)</f>
        <v>0.0</v>
      </c>
      <c r="AM104" s="31">
        <f>MIN(AM$5,S103+AC104)</f>
        <v>0.0</v>
      </c>
      <c r="AN104" s="31">
        <f>MIN(AN$5,T103+AD104)</f>
        <v>0.0</v>
      </c>
      <c r="AO104" s="31">
        <f>MIN(AO$5,U103+AE104)</f>
        <v>0.0</v>
      </c>
      <c r="AP104" s="31">
        <f>MIN(AP$5,V103+AF104)</f>
        <v>0.0</v>
      </c>
      <c r="AQ104" s="31">
        <f>MIN(AQ$5,W103+AG104)</f>
        <v>0.0</v>
      </c>
      <c r="AR104" s="31">
        <f>MIN(AR$5,X103+AH104)</f>
        <v>0.0</v>
      </c>
      <c r="AS104" s="31">
        <f>MIN(AS$5,Y103+AI104)</f>
        <v>0.0</v>
      </c>
      <c r="AT104" s="31">
        <f>MIN(AT$5,Z103+AJ104)</f>
        <v>0.0</v>
      </c>
      <c r="AU104" s="31">
        <f>MIN(AU$5,AA103+AK104)</f>
        <v>0.0</v>
      </c>
    </row>
    <row r="105">
      <c r="A105" s="25" t="str">
        <f>IF(F104&gt;0.005,100,"")</f>
        <v/>
      </c>
      <c r="B105" s="33" t="str">
        <f>IF(A105="","",EDATE(Долги!$D$5,99))</f>
        <v/>
      </c>
      <c r="C105" s="31">
        <f>SUM(H105:Q105)</f>
        <v>0.0</v>
      </c>
      <c r="D105" s="31">
        <f>SUM(AB105:AK105)</f>
        <v>0.0</v>
      </c>
      <c r="E105" s="31">
        <f>C105-D105</f>
        <v>0.0</v>
      </c>
      <c r="F105" s="31">
        <f>SUM(R105:AA105)</f>
        <v>0.0</v>
      </c>
      <c r="G105" s="34" t="str">
        <f>IF(OR(A105="",$F$5&lt;=0),"",REPT("█",ROUND(20*F105/$F$5,0)))</f>
        <v/>
      </c>
      <c r="H105" s="31">
        <f>AL105+MIN(R104+AB105-AL105,MAX(0,ROUND(Долги!$D$19-SUM($AL105:$AU105),2)))</f>
        <v>0.0</v>
      </c>
      <c r="I105" s="31">
        <f>AM105+MIN(S104+AC105-AM105,MAX(0,ROUND(ROUND(Долги!$D$19-SUM($AL105:$AU105),2)-(SUM($H105:H105)-SUM($AL105:AL105)),2)))</f>
        <v>0.0</v>
      </c>
      <c r="J105" s="31">
        <f>AN105+MIN(T104+AD105-AN105,MAX(0,ROUND(ROUND(Долги!$D$19-SUM($AL105:$AU105),2)-(SUM($H105:I105)-SUM($AL105:AM105)),2)))</f>
        <v>0.0</v>
      </c>
      <c r="K105" s="31">
        <f>AO105+MIN(U104+AE105-AO105,MAX(0,ROUND(ROUND(Долги!$D$19-SUM($AL105:$AU105),2)-(SUM($H105:J105)-SUM($AL105:AN105)),2)))</f>
        <v>0.0</v>
      </c>
      <c r="L105" s="31">
        <f>AP105+MIN(V104+AF105-AP105,MAX(0,ROUND(ROUND(Долги!$D$19-SUM($AL105:$AU105),2)-(SUM($H105:K105)-SUM($AL105:AO105)),2)))</f>
        <v>0.0</v>
      </c>
      <c r="M105" s="31">
        <f>AQ105+MIN(W104+AG105-AQ105,MAX(0,ROUND(ROUND(Долги!$D$19-SUM($AL105:$AU105),2)-(SUM($H105:L105)-SUM($AL105:AP105)),2)))</f>
        <v>0.0</v>
      </c>
      <c r="N105" s="31">
        <f>AR105+MIN(X104+AH105-AR105,MAX(0,ROUND(ROUND(Долги!$D$19-SUM($AL105:$AU105),2)-(SUM($H105:M105)-SUM($AL105:AQ105)),2)))</f>
        <v>0.0</v>
      </c>
      <c r="O105" s="31">
        <f>AS105+MIN(Y104+AI105-AS105,MAX(0,ROUND(ROUND(Долги!$D$19-SUM($AL105:$AU105),2)-(SUM($H105:N105)-SUM($AL105:AR105)),2)))</f>
        <v>0.0</v>
      </c>
      <c r="P105" s="31">
        <f>AT105+MIN(Z104+AJ105-AT105,MAX(0,ROUND(ROUND(Долги!$D$19-SUM($AL105:$AU105),2)-(SUM($H105:O105)-SUM($AL105:AS105)),2)))</f>
        <v>0.0</v>
      </c>
      <c r="Q105" s="31">
        <f>AU105+MIN(AA104+AK105-AU105,MAX(0,ROUND(ROUND(Долги!$D$19-SUM($AL105:$AU105),2)-(SUM($H105:P105)-SUM($AL105:AT105)),2)))</f>
        <v>0.0</v>
      </c>
      <c r="R105" s="31">
        <f>IF(R104+AB105-H105&lt;=0.01,0,ROUND(R104+AB105-H105,2))</f>
        <v>0.0</v>
      </c>
      <c r="S105" s="31">
        <f>IF(S104+AC105-I105&lt;=0.01,0,ROUND(S104+AC105-I105,2))</f>
        <v>0.0</v>
      </c>
      <c r="T105" s="31">
        <f>IF(T104+AD105-J105&lt;=0.01,0,ROUND(T104+AD105-J105,2))</f>
        <v>0.0</v>
      </c>
      <c r="U105" s="31">
        <f>IF(U104+AE105-K105&lt;=0.01,0,ROUND(U104+AE105-K105,2))</f>
        <v>0.0</v>
      </c>
      <c r="V105" s="31">
        <f>IF(V104+AF105-L105&lt;=0.01,0,ROUND(V104+AF105-L105,2))</f>
        <v>0.0</v>
      </c>
      <c r="W105" s="31">
        <f>IF(W104+AG105-M105&lt;=0.01,0,ROUND(W104+AG105-M105,2))</f>
        <v>0.0</v>
      </c>
      <c r="X105" s="31">
        <f>IF(X104+AH105-N105&lt;=0.01,0,ROUND(X104+AH105-N105,2))</f>
        <v>0.0</v>
      </c>
      <c r="Y105" s="31">
        <f>IF(Y104+AI105-O105&lt;=0.01,0,ROUND(Y104+AI105-O105,2))</f>
        <v>0.0</v>
      </c>
      <c r="Z105" s="31">
        <f>IF(Z104+AJ105-P105&lt;=0.01,0,ROUND(Z104+AJ105-P105,2))</f>
        <v>0.0</v>
      </c>
      <c r="AA105" s="31">
        <f>IF(AA104+AK105-Q105&lt;=0.01,0,ROUND(AA104+AK105-Q105,2))</f>
        <v>0.0</v>
      </c>
      <c r="AB105" s="31">
        <f>ROUND(R104*AB$5/1200,2)</f>
        <v>0.0</v>
      </c>
      <c r="AC105" s="31">
        <f>ROUND(S104*AC$5/1200,2)</f>
        <v>0.0</v>
      </c>
      <c r="AD105" s="31">
        <f>ROUND(T104*AD$5/1200,2)</f>
        <v>0.0</v>
      </c>
      <c r="AE105" s="31">
        <f>ROUND(U104*AE$5/1200,2)</f>
        <v>0.0</v>
      </c>
      <c r="AF105" s="31">
        <f>ROUND(V104*AF$5/1200,2)</f>
        <v>0.0</v>
      </c>
      <c r="AG105" s="31">
        <f>ROUND(W104*AG$5/1200,2)</f>
        <v>0.0</v>
      </c>
      <c r="AH105" s="31">
        <f>ROUND(X104*AH$5/1200,2)</f>
        <v>0.0</v>
      </c>
      <c r="AI105" s="31">
        <f>ROUND(Y104*AI$5/1200,2)</f>
        <v>0.0</v>
      </c>
      <c r="AJ105" s="31">
        <f>ROUND(Z104*AJ$5/1200,2)</f>
        <v>0.0</v>
      </c>
      <c r="AK105" s="31">
        <f>ROUND(AA104*AK$5/1200,2)</f>
        <v>0.0</v>
      </c>
      <c r="AL105" s="31">
        <f>MIN(AL$5,R104+AB105)</f>
        <v>0.0</v>
      </c>
      <c r="AM105" s="31">
        <f>MIN(AM$5,S104+AC105)</f>
        <v>0.0</v>
      </c>
      <c r="AN105" s="31">
        <f>MIN(AN$5,T104+AD105)</f>
        <v>0.0</v>
      </c>
      <c r="AO105" s="31">
        <f>MIN(AO$5,U104+AE105)</f>
        <v>0.0</v>
      </c>
      <c r="AP105" s="31">
        <f>MIN(AP$5,V104+AF105)</f>
        <v>0.0</v>
      </c>
      <c r="AQ105" s="31">
        <f>MIN(AQ$5,W104+AG105)</f>
        <v>0.0</v>
      </c>
      <c r="AR105" s="31">
        <f>MIN(AR$5,X104+AH105)</f>
        <v>0.0</v>
      </c>
      <c r="AS105" s="31">
        <f>MIN(AS$5,Y104+AI105)</f>
        <v>0.0</v>
      </c>
      <c r="AT105" s="31">
        <f>MIN(AT$5,Z104+AJ105)</f>
        <v>0.0</v>
      </c>
      <c r="AU105" s="31">
        <f>MIN(AU$5,AA104+AK105)</f>
        <v>0.0</v>
      </c>
    </row>
    <row r="106">
      <c r="A106" s="25" t="str">
        <f>IF(F105&gt;0.005,101,"")</f>
        <v/>
      </c>
      <c r="B106" s="33" t="str">
        <f>IF(A106="","",EDATE(Долги!$D$5,100))</f>
        <v/>
      </c>
      <c r="C106" s="31">
        <f>SUM(H106:Q106)</f>
        <v>0.0</v>
      </c>
      <c r="D106" s="31">
        <f>SUM(AB106:AK106)</f>
        <v>0.0</v>
      </c>
      <c r="E106" s="31">
        <f>C106-D106</f>
        <v>0.0</v>
      </c>
      <c r="F106" s="31">
        <f>SUM(R106:AA106)</f>
        <v>0.0</v>
      </c>
      <c r="G106" s="34" t="str">
        <f>IF(OR(A106="",$F$5&lt;=0),"",REPT("█",ROUND(20*F106/$F$5,0)))</f>
        <v/>
      </c>
      <c r="H106" s="31">
        <f>AL106+MIN(R105+AB106-AL106,MAX(0,ROUND(Долги!$D$19-SUM($AL106:$AU106),2)))</f>
        <v>0.0</v>
      </c>
      <c r="I106" s="31">
        <f>AM106+MIN(S105+AC106-AM106,MAX(0,ROUND(ROUND(Долги!$D$19-SUM($AL106:$AU106),2)-(SUM($H106:H106)-SUM($AL106:AL106)),2)))</f>
        <v>0.0</v>
      </c>
      <c r="J106" s="31">
        <f>AN106+MIN(T105+AD106-AN106,MAX(0,ROUND(ROUND(Долги!$D$19-SUM($AL106:$AU106),2)-(SUM($H106:I106)-SUM($AL106:AM106)),2)))</f>
        <v>0.0</v>
      </c>
      <c r="K106" s="31">
        <f>AO106+MIN(U105+AE106-AO106,MAX(0,ROUND(ROUND(Долги!$D$19-SUM($AL106:$AU106),2)-(SUM($H106:J106)-SUM($AL106:AN106)),2)))</f>
        <v>0.0</v>
      </c>
      <c r="L106" s="31">
        <f>AP106+MIN(V105+AF106-AP106,MAX(0,ROUND(ROUND(Долги!$D$19-SUM($AL106:$AU106),2)-(SUM($H106:K106)-SUM($AL106:AO106)),2)))</f>
        <v>0.0</v>
      </c>
      <c r="M106" s="31">
        <f>AQ106+MIN(W105+AG106-AQ106,MAX(0,ROUND(ROUND(Долги!$D$19-SUM($AL106:$AU106),2)-(SUM($H106:L106)-SUM($AL106:AP106)),2)))</f>
        <v>0.0</v>
      </c>
      <c r="N106" s="31">
        <f>AR106+MIN(X105+AH106-AR106,MAX(0,ROUND(ROUND(Долги!$D$19-SUM($AL106:$AU106),2)-(SUM($H106:M106)-SUM($AL106:AQ106)),2)))</f>
        <v>0.0</v>
      </c>
      <c r="O106" s="31">
        <f>AS106+MIN(Y105+AI106-AS106,MAX(0,ROUND(ROUND(Долги!$D$19-SUM($AL106:$AU106),2)-(SUM($H106:N106)-SUM($AL106:AR106)),2)))</f>
        <v>0.0</v>
      </c>
      <c r="P106" s="31">
        <f>AT106+MIN(Z105+AJ106-AT106,MAX(0,ROUND(ROUND(Долги!$D$19-SUM($AL106:$AU106),2)-(SUM($H106:O106)-SUM($AL106:AS106)),2)))</f>
        <v>0.0</v>
      </c>
      <c r="Q106" s="31">
        <f>AU106+MIN(AA105+AK106-AU106,MAX(0,ROUND(ROUND(Долги!$D$19-SUM($AL106:$AU106),2)-(SUM($H106:P106)-SUM($AL106:AT106)),2)))</f>
        <v>0.0</v>
      </c>
      <c r="R106" s="31">
        <f>IF(R105+AB106-H106&lt;=0.01,0,ROUND(R105+AB106-H106,2))</f>
        <v>0.0</v>
      </c>
      <c r="S106" s="31">
        <f>IF(S105+AC106-I106&lt;=0.01,0,ROUND(S105+AC106-I106,2))</f>
        <v>0.0</v>
      </c>
      <c r="T106" s="31">
        <f>IF(T105+AD106-J106&lt;=0.01,0,ROUND(T105+AD106-J106,2))</f>
        <v>0.0</v>
      </c>
      <c r="U106" s="31">
        <f>IF(U105+AE106-K106&lt;=0.01,0,ROUND(U105+AE106-K106,2))</f>
        <v>0.0</v>
      </c>
      <c r="V106" s="31">
        <f>IF(V105+AF106-L106&lt;=0.01,0,ROUND(V105+AF106-L106,2))</f>
        <v>0.0</v>
      </c>
      <c r="W106" s="31">
        <f>IF(W105+AG106-M106&lt;=0.01,0,ROUND(W105+AG106-M106,2))</f>
        <v>0.0</v>
      </c>
      <c r="X106" s="31">
        <f>IF(X105+AH106-N106&lt;=0.01,0,ROUND(X105+AH106-N106,2))</f>
        <v>0.0</v>
      </c>
      <c r="Y106" s="31">
        <f>IF(Y105+AI106-O106&lt;=0.01,0,ROUND(Y105+AI106-O106,2))</f>
        <v>0.0</v>
      </c>
      <c r="Z106" s="31">
        <f>IF(Z105+AJ106-P106&lt;=0.01,0,ROUND(Z105+AJ106-P106,2))</f>
        <v>0.0</v>
      </c>
      <c r="AA106" s="31">
        <f>IF(AA105+AK106-Q106&lt;=0.01,0,ROUND(AA105+AK106-Q106,2))</f>
        <v>0.0</v>
      </c>
      <c r="AB106" s="31">
        <f>ROUND(R105*AB$5/1200,2)</f>
        <v>0.0</v>
      </c>
      <c r="AC106" s="31">
        <f>ROUND(S105*AC$5/1200,2)</f>
        <v>0.0</v>
      </c>
      <c r="AD106" s="31">
        <f>ROUND(T105*AD$5/1200,2)</f>
        <v>0.0</v>
      </c>
      <c r="AE106" s="31">
        <f>ROUND(U105*AE$5/1200,2)</f>
        <v>0.0</v>
      </c>
      <c r="AF106" s="31">
        <f>ROUND(V105*AF$5/1200,2)</f>
        <v>0.0</v>
      </c>
      <c r="AG106" s="31">
        <f>ROUND(W105*AG$5/1200,2)</f>
        <v>0.0</v>
      </c>
      <c r="AH106" s="31">
        <f>ROUND(X105*AH$5/1200,2)</f>
        <v>0.0</v>
      </c>
      <c r="AI106" s="31">
        <f>ROUND(Y105*AI$5/1200,2)</f>
        <v>0.0</v>
      </c>
      <c r="AJ106" s="31">
        <f>ROUND(Z105*AJ$5/1200,2)</f>
        <v>0.0</v>
      </c>
      <c r="AK106" s="31">
        <f>ROUND(AA105*AK$5/1200,2)</f>
        <v>0.0</v>
      </c>
      <c r="AL106" s="31">
        <f>MIN(AL$5,R105+AB106)</f>
        <v>0.0</v>
      </c>
      <c r="AM106" s="31">
        <f>MIN(AM$5,S105+AC106)</f>
        <v>0.0</v>
      </c>
      <c r="AN106" s="31">
        <f>MIN(AN$5,T105+AD106)</f>
        <v>0.0</v>
      </c>
      <c r="AO106" s="31">
        <f>MIN(AO$5,U105+AE106)</f>
        <v>0.0</v>
      </c>
      <c r="AP106" s="31">
        <f>MIN(AP$5,V105+AF106)</f>
        <v>0.0</v>
      </c>
      <c r="AQ106" s="31">
        <f>MIN(AQ$5,W105+AG106)</f>
        <v>0.0</v>
      </c>
      <c r="AR106" s="31">
        <f>MIN(AR$5,X105+AH106)</f>
        <v>0.0</v>
      </c>
      <c r="AS106" s="31">
        <f>MIN(AS$5,Y105+AI106)</f>
        <v>0.0</v>
      </c>
      <c r="AT106" s="31">
        <f>MIN(AT$5,Z105+AJ106)</f>
        <v>0.0</v>
      </c>
      <c r="AU106" s="31">
        <f>MIN(AU$5,AA105+AK106)</f>
        <v>0.0</v>
      </c>
    </row>
    <row r="107">
      <c r="A107" s="25" t="str">
        <f>IF(F106&gt;0.005,102,"")</f>
        <v/>
      </c>
      <c r="B107" s="33" t="str">
        <f>IF(A107="","",EDATE(Долги!$D$5,101))</f>
        <v/>
      </c>
      <c r="C107" s="31">
        <f>SUM(H107:Q107)</f>
        <v>0.0</v>
      </c>
      <c r="D107" s="31">
        <f>SUM(AB107:AK107)</f>
        <v>0.0</v>
      </c>
      <c r="E107" s="31">
        <f>C107-D107</f>
        <v>0.0</v>
      </c>
      <c r="F107" s="31">
        <f>SUM(R107:AA107)</f>
        <v>0.0</v>
      </c>
      <c r="G107" s="34" t="str">
        <f>IF(OR(A107="",$F$5&lt;=0),"",REPT("█",ROUND(20*F107/$F$5,0)))</f>
        <v/>
      </c>
      <c r="H107" s="31">
        <f>AL107+MIN(R106+AB107-AL107,MAX(0,ROUND(Долги!$D$19-SUM($AL107:$AU107),2)))</f>
        <v>0.0</v>
      </c>
      <c r="I107" s="31">
        <f>AM107+MIN(S106+AC107-AM107,MAX(0,ROUND(ROUND(Долги!$D$19-SUM($AL107:$AU107),2)-(SUM($H107:H107)-SUM($AL107:AL107)),2)))</f>
        <v>0.0</v>
      </c>
      <c r="J107" s="31">
        <f>AN107+MIN(T106+AD107-AN107,MAX(0,ROUND(ROUND(Долги!$D$19-SUM($AL107:$AU107),2)-(SUM($H107:I107)-SUM($AL107:AM107)),2)))</f>
        <v>0.0</v>
      </c>
      <c r="K107" s="31">
        <f>AO107+MIN(U106+AE107-AO107,MAX(0,ROUND(ROUND(Долги!$D$19-SUM($AL107:$AU107),2)-(SUM($H107:J107)-SUM($AL107:AN107)),2)))</f>
        <v>0.0</v>
      </c>
      <c r="L107" s="31">
        <f>AP107+MIN(V106+AF107-AP107,MAX(0,ROUND(ROUND(Долги!$D$19-SUM($AL107:$AU107),2)-(SUM($H107:K107)-SUM($AL107:AO107)),2)))</f>
        <v>0.0</v>
      </c>
      <c r="M107" s="31">
        <f>AQ107+MIN(W106+AG107-AQ107,MAX(0,ROUND(ROUND(Долги!$D$19-SUM($AL107:$AU107),2)-(SUM($H107:L107)-SUM($AL107:AP107)),2)))</f>
        <v>0.0</v>
      </c>
      <c r="N107" s="31">
        <f>AR107+MIN(X106+AH107-AR107,MAX(0,ROUND(ROUND(Долги!$D$19-SUM($AL107:$AU107),2)-(SUM($H107:M107)-SUM($AL107:AQ107)),2)))</f>
        <v>0.0</v>
      </c>
      <c r="O107" s="31">
        <f>AS107+MIN(Y106+AI107-AS107,MAX(0,ROUND(ROUND(Долги!$D$19-SUM($AL107:$AU107),2)-(SUM($H107:N107)-SUM($AL107:AR107)),2)))</f>
        <v>0.0</v>
      </c>
      <c r="P107" s="31">
        <f>AT107+MIN(Z106+AJ107-AT107,MAX(0,ROUND(ROUND(Долги!$D$19-SUM($AL107:$AU107),2)-(SUM($H107:O107)-SUM($AL107:AS107)),2)))</f>
        <v>0.0</v>
      </c>
      <c r="Q107" s="31">
        <f>AU107+MIN(AA106+AK107-AU107,MAX(0,ROUND(ROUND(Долги!$D$19-SUM($AL107:$AU107),2)-(SUM($H107:P107)-SUM($AL107:AT107)),2)))</f>
        <v>0.0</v>
      </c>
      <c r="R107" s="31">
        <f>IF(R106+AB107-H107&lt;=0.01,0,ROUND(R106+AB107-H107,2))</f>
        <v>0.0</v>
      </c>
      <c r="S107" s="31">
        <f>IF(S106+AC107-I107&lt;=0.01,0,ROUND(S106+AC107-I107,2))</f>
        <v>0.0</v>
      </c>
      <c r="T107" s="31">
        <f>IF(T106+AD107-J107&lt;=0.01,0,ROUND(T106+AD107-J107,2))</f>
        <v>0.0</v>
      </c>
      <c r="U107" s="31">
        <f>IF(U106+AE107-K107&lt;=0.01,0,ROUND(U106+AE107-K107,2))</f>
        <v>0.0</v>
      </c>
      <c r="V107" s="31">
        <f>IF(V106+AF107-L107&lt;=0.01,0,ROUND(V106+AF107-L107,2))</f>
        <v>0.0</v>
      </c>
      <c r="W107" s="31">
        <f>IF(W106+AG107-M107&lt;=0.01,0,ROUND(W106+AG107-M107,2))</f>
        <v>0.0</v>
      </c>
      <c r="X107" s="31">
        <f>IF(X106+AH107-N107&lt;=0.01,0,ROUND(X106+AH107-N107,2))</f>
        <v>0.0</v>
      </c>
      <c r="Y107" s="31">
        <f>IF(Y106+AI107-O107&lt;=0.01,0,ROUND(Y106+AI107-O107,2))</f>
        <v>0.0</v>
      </c>
      <c r="Z107" s="31">
        <f>IF(Z106+AJ107-P107&lt;=0.01,0,ROUND(Z106+AJ107-P107,2))</f>
        <v>0.0</v>
      </c>
      <c r="AA107" s="31">
        <f>IF(AA106+AK107-Q107&lt;=0.01,0,ROUND(AA106+AK107-Q107,2))</f>
        <v>0.0</v>
      </c>
      <c r="AB107" s="31">
        <f>ROUND(R106*AB$5/1200,2)</f>
        <v>0.0</v>
      </c>
      <c r="AC107" s="31">
        <f>ROUND(S106*AC$5/1200,2)</f>
        <v>0.0</v>
      </c>
      <c r="AD107" s="31">
        <f>ROUND(T106*AD$5/1200,2)</f>
        <v>0.0</v>
      </c>
      <c r="AE107" s="31">
        <f>ROUND(U106*AE$5/1200,2)</f>
        <v>0.0</v>
      </c>
      <c r="AF107" s="31">
        <f>ROUND(V106*AF$5/1200,2)</f>
        <v>0.0</v>
      </c>
      <c r="AG107" s="31">
        <f>ROUND(W106*AG$5/1200,2)</f>
        <v>0.0</v>
      </c>
      <c r="AH107" s="31">
        <f>ROUND(X106*AH$5/1200,2)</f>
        <v>0.0</v>
      </c>
      <c r="AI107" s="31">
        <f>ROUND(Y106*AI$5/1200,2)</f>
        <v>0.0</v>
      </c>
      <c r="AJ107" s="31">
        <f>ROUND(Z106*AJ$5/1200,2)</f>
        <v>0.0</v>
      </c>
      <c r="AK107" s="31">
        <f>ROUND(AA106*AK$5/1200,2)</f>
        <v>0.0</v>
      </c>
      <c r="AL107" s="31">
        <f>MIN(AL$5,R106+AB107)</f>
        <v>0.0</v>
      </c>
      <c r="AM107" s="31">
        <f>MIN(AM$5,S106+AC107)</f>
        <v>0.0</v>
      </c>
      <c r="AN107" s="31">
        <f>MIN(AN$5,T106+AD107)</f>
        <v>0.0</v>
      </c>
      <c r="AO107" s="31">
        <f>MIN(AO$5,U106+AE107)</f>
        <v>0.0</v>
      </c>
      <c r="AP107" s="31">
        <f>MIN(AP$5,V106+AF107)</f>
        <v>0.0</v>
      </c>
      <c r="AQ107" s="31">
        <f>MIN(AQ$5,W106+AG107)</f>
        <v>0.0</v>
      </c>
      <c r="AR107" s="31">
        <f>MIN(AR$5,X106+AH107)</f>
        <v>0.0</v>
      </c>
      <c r="AS107" s="31">
        <f>MIN(AS$5,Y106+AI107)</f>
        <v>0.0</v>
      </c>
      <c r="AT107" s="31">
        <f>MIN(AT$5,Z106+AJ107)</f>
        <v>0.0</v>
      </c>
      <c r="AU107" s="31">
        <f>MIN(AU$5,AA106+AK107)</f>
        <v>0.0</v>
      </c>
    </row>
    <row r="108">
      <c r="A108" s="25" t="str">
        <f>IF(F107&gt;0.005,103,"")</f>
        <v/>
      </c>
      <c r="B108" s="33" t="str">
        <f>IF(A108="","",EDATE(Долги!$D$5,102))</f>
        <v/>
      </c>
      <c r="C108" s="31">
        <f>SUM(H108:Q108)</f>
        <v>0.0</v>
      </c>
      <c r="D108" s="31">
        <f>SUM(AB108:AK108)</f>
        <v>0.0</v>
      </c>
      <c r="E108" s="31">
        <f>C108-D108</f>
        <v>0.0</v>
      </c>
      <c r="F108" s="31">
        <f>SUM(R108:AA108)</f>
        <v>0.0</v>
      </c>
      <c r="G108" s="34" t="str">
        <f>IF(OR(A108="",$F$5&lt;=0),"",REPT("█",ROUND(20*F108/$F$5,0)))</f>
        <v/>
      </c>
      <c r="H108" s="31">
        <f>AL108+MIN(R107+AB108-AL108,MAX(0,ROUND(Долги!$D$19-SUM($AL108:$AU108),2)))</f>
        <v>0.0</v>
      </c>
      <c r="I108" s="31">
        <f>AM108+MIN(S107+AC108-AM108,MAX(0,ROUND(ROUND(Долги!$D$19-SUM($AL108:$AU108),2)-(SUM($H108:H108)-SUM($AL108:AL108)),2)))</f>
        <v>0.0</v>
      </c>
      <c r="J108" s="31">
        <f>AN108+MIN(T107+AD108-AN108,MAX(0,ROUND(ROUND(Долги!$D$19-SUM($AL108:$AU108),2)-(SUM($H108:I108)-SUM($AL108:AM108)),2)))</f>
        <v>0.0</v>
      </c>
      <c r="K108" s="31">
        <f>AO108+MIN(U107+AE108-AO108,MAX(0,ROUND(ROUND(Долги!$D$19-SUM($AL108:$AU108),2)-(SUM($H108:J108)-SUM($AL108:AN108)),2)))</f>
        <v>0.0</v>
      </c>
      <c r="L108" s="31">
        <f>AP108+MIN(V107+AF108-AP108,MAX(0,ROUND(ROUND(Долги!$D$19-SUM($AL108:$AU108),2)-(SUM($H108:K108)-SUM($AL108:AO108)),2)))</f>
        <v>0.0</v>
      </c>
      <c r="M108" s="31">
        <f>AQ108+MIN(W107+AG108-AQ108,MAX(0,ROUND(ROUND(Долги!$D$19-SUM($AL108:$AU108),2)-(SUM($H108:L108)-SUM($AL108:AP108)),2)))</f>
        <v>0.0</v>
      </c>
      <c r="N108" s="31">
        <f>AR108+MIN(X107+AH108-AR108,MAX(0,ROUND(ROUND(Долги!$D$19-SUM($AL108:$AU108),2)-(SUM($H108:M108)-SUM($AL108:AQ108)),2)))</f>
        <v>0.0</v>
      </c>
      <c r="O108" s="31">
        <f>AS108+MIN(Y107+AI108-AS108,MAX(0,ROUND(ROUND(Долги!$D$19-SUM($AL108:$AU108),2)-(SUM($H108:N108)-SUM($AL108:AR108)),2)))</f>
        <v>0.0</v>
      </c>
      <c r="P108" s="31">
        <f>AT108+MIN(Z107+AJ108-AT108,MAX(0,ROUND(ROUND(Долги!$D$19-SUM($AL108:$AU108),2)-(SUM($H108:O108)-SUM($AL108:AS108)),2)))</f>
        <v>0.0</v>
      </c>
      <c r="Q108" s="31">
        <f>AU108+MIN(AA107+AK108-AU108,MAX(0,ROUND(ROUND(Долги!$D$19-SUM($AL108:$AU108),2)-(SUM($H108:P108)-SUM($AL108:AT108)),2)))</f>
        <v>0.0</v>
      </c>
      <c r="R108" s="31">
        <f>IF(R107+AB108-H108&lt;=0.01,0,ROUND(R107+AB108-H108,2))</f>
        <v>0.0</v>
      </c>
      <c r="S108" s="31">
        <f>IF(S107+AC108-I108&lt;=0.01,0,ROUND(S107+AC108-I108,2))</f>
        <v>0.0</v>
      </c>
      <c r="T108" s="31">
        <f>IF(T107+AD108-J108&lt;=0.01,0,ROUND(T107+AD108-J108,2))</f>
        <v>0.0</v>
      </c>
      <c r="U108" s="31">
        <f>IF(U107+AE108-K108&lt;=0.01,0,ROUND(U107+AE108-K108,2))</f>
        <v>0.0</v>
      </c>
      <c r="V108" s="31">
        <f>IF(V107+AF108-L108&lt;=0.01,0,ROUND(V107+AF108-L108,2))</f>
        <v>0.0</v>
      </c>
      <c r="W108" s="31">
        <f>IF(W107+AG108-M108&lt;=0.01,0,ROUND(W107+AG108-M108,2))</f>
        <v>0.0</v>
      </c>
      <c r="X108" s="31">
        <f>IF(X107+AH108-N108&lt;=0.01,0,ROUND(X107+AH108-N108,2))</f>
        <v>0.0</v>
      </c>
      <c r="Y108" s="31">
        <f>IF(Y107+AI108-O108&lt;=0.01,0,ROUND(Y107+AI108-O108,2))</f>
        <v>0.0</v>
      </c>
      <c r="Z108" s="31">
        <f>IF(Z107+AJ108-P108&lt;=0.01,0,ROUND(Z107+AJ108-P108,2))</f>
        <v>0.0</v>
      </c>
      <c r="AA108" s="31">
        <f>IF(AA107+AK108-Q108&lt;=0.01,0,ROUND(AA107+AK108-Q108,2))</f>
        <v>0.0</v>
      </c>
      <c r="AB108" s="31">
        <f>ROUND(R107*AB$5/1200,2)</f>
        <v>0.0</v>
      </c>
      <c r="AC108" s="31">
        <f>ROUND(S107*AC$5/1200,2)</f>
        <v>0.0</v>
      </c>
      <c r="AD108" s="31">
        <f>ROUND(T107*AD$5/1200,2)</f>
        <v>0.0</v>
      </c>
      <c r="AE108" s="31">
        <f>ROUND(U107*AE$5/1200,2)</f>
        <v>0.0</v>
      </c>
      <c r="AF108" s="31">
        <f>ROUND(V107*AF$5/1200,2)</f>
        <v>0.0</v>
      </c>
      <c r="AG108" s="31">
        <f>ROUND(W107*AG$5/1200,2)</f>
        <v>0.0</v>
      </c>
      <c r="AH108" s="31">
        <f>ROUND(X107*AH$5/1200,2)</f>
        <v>0.0</v>
      </c>
      <c r="AI108" s="31">
        <f>ROUND(Y107*AI$5/1200,2)</f>
        <v>0.0</v>
      </c>
      <c r="AJ108" s="31">
        <f>ROUND(Z107*AJ$5/1200,2)</f>
        <v>0.0</v>
      </c>
      <c r="AK108" s="31">
        <f>ROUND(AA107*AK$5/1200,2)</f>
        <v>0.0</v>
      </c>
      <c r="AL108" s="31">
        <f>MIN(AL$5,R107+AB108)</f>
        <v>0.0</v>
      </c>
      <c r="AM108" s="31">
        <f>MIN(AM$5,S107+AC108)</f>
        <v>0.0</v>
      </c>
      <c r="AN108" s="31">
        <f>MIN(AN$5,T107+AD108)</f>
        <v>0.0</v>
      </c>
      <c r="AO108" s="31">
        <f>MIN(AO$5,U107+AE108)</f>
        <v>0.0</v>
      </c>
      <c r="AP108" s="31">
        <f>MIN(AP$5,V107+AF108)</f>
        <v>0.0</v>
      </c>
      <c r="AQ108" s="31">
        <f>MIN(AQ$5,W107+AG108)</f>
        <v>0.0</v>
      </c>
      <c r="AR108" s="31">
        <f>MIN(AR$5,X107+AH108)</f>
        <v>0.0</v>
      </c>
      <c r="AS108" s="31">
        <f>MIN(AS$5,Y107+AI108)</f>
        <v>0.0</v>
      </c>
      <c r="AT108" s="31">
        <f>MIN(AT$5,Z107+AJ108)</f>
        <v>0.0</v>
      </c>
      <c r="AU108" s="31">
        <f>MIN(AU$5,AA107+AK108)</f>
        <v>0.0</v>
      </c>
    </row>
    <row r="109">
      <c r="A109" s="25" t="str">
        <f>IF(F108&gt;0.005,104,"")</f>
        <v/>
      </c>
      <c r="B109" s="33" t="str">
        <f>IF(A109="","",EDATE(Долги!$D$5,103))</f>
        <v/>
      </c>
      <c r="C109" s="31">
        <f>SUM(H109:Q109)</f>
        <v>0.0</v>
      </c>
      <c r="D109" s="31">
        <f>SUM(AB109:AK109)</f>
        <v>0.0</v>
      </c>
      <c r="E109" s="31">
        <f>C109-D109</f>
        <v>0.0</v>
      </c>
      <c r="F109" s="31">
        <f>SUM(R109:AA109)</f>
        <v>0.0</v>
      </c>
      <c r="G109" s="34" t="str">
        <f>IF(OR(A109="",$F$5&lt;=0),"",REPT("█",ROUND(20*F109/$F$5,0)))</f>
        <v/>
      </c>
      <c r="H109" s="31">
        <f>AL109+MIN(R108+AB109-AL109,MAX(0,ROUND(Долги!$D$19-SUM($AL109:$AU109),2)))</f>
        <v>0.0</v>
      </c>
      <c r="I109" s="31">
        <f>AM109+MIN(S108+AC109-AM109,MAX(0,ROUND(ROUND(Долги!$D$19-SUM($AL109:$AU109),2)-(SUM($H109:H109)-SUM($AL109:AL109)),2)))</f>
        <v>0.0</v>
      </c>
      <c r="J109" s="31">
        <f>AN109+MIN(T108+AD109-AN109,MAX(0,ROUND(ROUND(Долги!$D$19-SUM($AL109:$AU109),2)-(SUM($H109:I109)-SUM($AL109:AM109)),2)))</f>
        <v>0.0</v>
      </c>
      <c r="K109" s="31">
        <f>AO109+MIN(U108+AE109-AO109,MAX(0,ROUND(ROUND(Долги!$D$19-SUM($AL109:$AU109),2)-(SUM($H109:J109)-SUM($AL109:AN109)),2)))</f>
        <v>0.0</v>
      </c>
      <c r="L109" s="31">
        <f>AP109+MIN(V108+AF109-AP109,MAX(0,ROUND(ROUND(Долги!$D$19-SUM($AL109:$AU109),2)-(SUM($H109:K109)-SUM($AL109:AO109)),2)))</f>
        <v>0.0</v>
      </c>
      <c r="M109" s="31">
        <f>AQ109+MIN(W108+AG109-AQ109,MAX(0,ROUND(ROUND(Долги!$D$19-SUM($AL109:$AU109),2)-(SUM($H109:L109)-SUM($AL109:AP109)),2)))</f>
        <v>0.0</v>
      </c>
      <c r="N109" s="31">
        <f>AR109+MIN(X108+AH109-AR109,MAX(0,ROUND(ROUND(Долги!$D$19-SUM($AL109:$AU109),2)-(SUM($H109:M109)-SUM($AL109:AQ109)),2)))</f>
        <v>0.0</v>
      </c>
      <c r="O109" s="31">
        <f>AS109+MIN(Y108+AI109-AS109,MAX(0,ROUND(ROUND(Долги!$D$19-SUM($AL109:$AU109),2)-(SUM($H109:N109)-SUM($AL109:AR109)),2)))</f>
        <v>0.0</v>
      </c>
      <c r="P109" s="31">
        <f>AT109+MIN(Z108+AJ109-AT109,MAX(0,ROUND(ROUND(Долги!$D$19-SUM($AL109:$AU109),2)-(SUM($H109:O109)-SUM($AL109:AS109)),2)))</f>
        <v>0.0</v>
      </c>
      <c r="Q109" s="31">
        <f>AU109+MIN(AA108+AK109-AU109,MAX(0,ROUND(ROUND(Долги!$D$19-SUM($AL109:$AU109),2)-(SUM($H109:P109)-SUM($AL109:AT109)),2)))</f>
        <v>0.0</v>
      </c>
      <c r="R109" s="31">
        <f>IF(R108+AB109-H109&lt;=0.01,0,ROUND(R108+AB109-H109,2))</f>
        <v>0.0</v>
      </c>
      <c r="S109" s="31">
        <f>IF(S108+AC109-I109&lt;=0.01,0,ROUND(S108+AC109-I109,2))</f>
        <v>0.0</v>
      </c>
      <c r="T109" s="31">
        <f>IF(T108+AD109-J109&lt;=0.01,0,ROUND(T108+AD109-J109,2))</f>
        <v>0.0</v>
      </c>
      <c r="U109" s="31">
        <f>IF(U108+AE109-K109&lt;=0.01,0,ROUND(U108+AE109-K109,2))</f>
        <v>0.0</v>
      </c>
      <c r="V109" s="31">
        <f>IF(V108+AF109-L109&lt;=0.01,0,ROUND(V108+AF109-L109,2))</f>
        <v>0.0</v>
      </c>
      <c r="W109" s="31">
        <f>IF(W108+AG109-M109&lt;=0.01,0,ROUND(W108+AG109-M109,2))</f>
        <v>0.0</v>
      </c>
      <c r="X109" s="31">
        <f>IF(X108+AH109-N109&lt;=0.01,0,ROUND(X108+AH109-N109,2))</f>
        <v>0.0</v>
      </c>
      <c r="Y109" s="31">
        <f>IF(Y108+AI109-O109&lt;=0.01,0,ROUND(Y108+AI109-O109,2))</f>
        <v>0.0</v>
      </c>
      <c r="Z109" s="31">
        <f>IF(Z108+AJ109-P109&lt;=0.01,0,ROUND(Z108+AJ109-P109,2))</f>
        <v>0.0</v>
      </c>
      <c r="AA109" s="31">
        <f>IF(AA108+AK109-Q109&lt;=0.01,0,ROUND(AA108+AK109-Q109,2))</f>
        <v>0.0</v>
      </c>
      <c r="AB109" s="31">
        <f>ROUND(R108*AB$5/1200,2)</f>
        <v>0.0</v>
      </c>
      <c r="AC109" s="31">
        <f>ROUND(S108*AC$5/1200,2)</f>
        <v>0.0</v>
      </c>
      <c r="AD109" s="31">
        <f>ROUND(T108*AD$5/1200,2)</f>
        <v>0.0</v>
      </c>
      <c r="AE109" s="31">
        <f>ROUND(U108*AE$5/1200,2)</f>
        <v>0.0</v>
      </c>
      <c r="AF109" s="31">
        <f>ROUND(V108*AF$5/1200,2)</f>
        <v>0.0</v>
      </c>
      <c r="AG109" s="31">
        <f>ROUND(W108*AG$5/1200,2)</f>
        <v>0.0</v>
      </c>
      <c r="AH109" s="31">
        <f>ROUND(X108*AH$5/1200,2)</f>
        <v>0.0</v>
      </c>
      <c r="AI109" s="31">
        <f>ROUND(Y108*AI$5/1200,2)</f>
        <v>0.0</v>
      </c>
      <c r="AJ109" s="31">
        <f>ROUND(Z108*AJ$5/1200,2)</f>
        <v>0.0</v>
      </c>
      <c r="AK109" s="31">
        <f>ROUND(AA108*AK$5/1200,2)</f>
        <v>0.0</v>
      </c>
      <c r="AL109" s="31">
        <f>MIN(AL$5,R108+AB109)</f>
        <v>0.0</v>
      </c>
      <c r="AM109" s="31">
        <f>MIN(AM$5,S108+AC109)</f>
        <v>0.0</v>
      </c>
      <c r="AN109" s="31">
        <f>MIN(AN$5,T108+AD109)</f>
        <v>0.0</v>
      </c>
      <c r="AO109" s="31">
        <f>MIN(AO$5,U108+AE109)</f>
        <v>0.0</v>
      </c>
      <c r="AP109" s="31">
        <f>MIN(AP$5,V108+AF109)</f>
        <v>0.0</v>
      </c>
      <c r="AQ109" s="31">
        <f>MIN(AQ$5,W108+AG109)</f>
        <v>0.0</v>
      </c>
      <c r="AR109" s="31">
        <f>MIN(AR$5,X108+AH109)</f>
        <v>0.0</v>
      </c>
      <c r="AS109" s="31">
        <f>MIN(AS$5,Y108+AI109)</f>
        <v>0.0</v>
      </c>
      <c r="AT109" s="31">
        <f>MIN(AT$5,Z108+AJ109)</f>
        <v>0.0</v>
      </c>
      <c r="AU109" s="31">
        <f>MIN(AU$5,AA108+AK109)</f>
        <v>0.0</v>
      </c>
    </row>
    <row r="110">
      <c r="A110" s="25" t="str">
        <f>IF(F109&gt;0.005,105,"")</f>
        <v/>
      </c>
      <c r="B110" s="33" t="str">
        <f>IF(A110="","",EDATE(Долги!$D$5,104))</f>
        <v/>
      </c>
      <c r="C110" s="31">
        <f>SUM(H110:Q110)</f>
        <v>0.0</v>
      </c>
      <c r="D110" s="31">
        <f>SUM(AB110:AK110)</f>
        <v>0.0</v>
      </c>
      <c r="E110" s="31">
        <f>C110-D110</f>
        <v>0.0</v>
      </c>
      <c r="F110" s="31">
        <f>SUM(R110:AA110)</f>
        <v>0.0</v>
      </c>
      <c r="G110" s="34" t="str">
        <f>IF(OR(A110="",$F$5&lt;=0),"",REPT("█",ROUND(20*F110/$F$5,0)))</f>
        <v/>
      </c>
      <c r="H110" s="31">
        <f>AL110+MIN(R109+AB110-AL110,MAX(0,ROUND(Долги!$D$19-SUM($AL110:$AU110),2)))</f>
        <v>0.0</v>
      </c>
      <c r="I110" s="31">
        <f>AM110+MIN(S109+AC110-AM110,MAX(0,ROUND(ROUND(Долги!$D$19-SUM($AL110:$AU110),2)-(SUM($H110:H110)-SUM($AL110:AL110)),2)))</f>
        <v>0.0</v>
      </c>
      <c r="J110" s="31">
        <f>AN110+MIN(T109+AD110-AN110,MAX(0,ROUND(ROUND(Долги!$D$19-SUM($AL110:$AU110),2)-(SUM($H110:I110)-SUM($AL110:AM110)),2)))</f>
        <v>0.0</v>
      </c>
      <c r="K110" s="31">
        <f>AO110+MIN(U109+AE110-AO110,MAX(0,ROUND(ROUND(Долги!$D$19-SUM($AL110:$AU110),2)-(SUM($H110:J110)-SUM($AL110:AN110)),2)))</f>
        <v>0.0</v>
      </c>
      <c r="L110" s="31">
        <f>AP110+MIN(V109+AF110-AP110,MAX(0,ROUND(ROUND(Долги!$D$19-SUM($AL110:$AU110),2)-(SUM($H110:K110)-SUM($AL110:AO110)),2)))</f>
        <v>0.0</v>
      </c>
      <c r="M110" s="31">
        <f>AQ110+MIN(W109+AG110-AQ110,MAX(0,ROUND(ROUND(Долги!$D$19-SUM($AL110:$AU110),2)-(SUM($H110:L110)-SUM($AL110:AP110)),2)))</f>
        <v>0.0</v>
      </c>
      <c r="N110" s="31">
        <f>AR110+MIN(X109+AH110-AR110,MAX(0,ROUND(ROUND(Долги!$D$19-SUM($AL110:$AU110),2)-(SUM($H110:M110)-SUM($AL110:AQ110)),2)))</f>
        <v>0.0</v>
      </c>
      <c r="O110" s="31">
        <f>AS110+MIN(Y109+AI110-AS110,MAX(0,ROUND(ROUND(Долги!$D$19-SUM($AL110:$AU110),2)-(SUM($H110:N110)-SUM($AL110:AR110)),2)))</f>
        <v>0.0</v>
      </c>
      <c r="P110" s="31">
        <f>AT110+MIN(Z109+AJ110-AT110,MAX(0,ROUND(ROUND(Долги!$D$19-SUM($AL110:$AU110),2)-(SUM($H110:O110)-SUM($AL110:AS110)),2)))</f>
        <v>0.0</v>
      </c>
      <c r="Q110" s="31">
        <f>AU110+MIN(AA109+AK110-AU110,MAX(0,ROUND(ROUND(Долги!$D$19-SUM($AL110:$AU110),2)-(SUM($H110:P110)-SUM($AL110:AT110)),2)))</f>
        <v>0.0</v>
      </c>
      <c r="R110" s="31">
        <f>IF(R109+AB110-H110&lt;=0.01,0,ROUND(R109+AB110-H110,2))</f>
        <v>0.0</v>
      </c>
      <c r="S110" s="31">
        <f>IF(S109+AC110-I110&lt;=0.01,0,ROUND(S109+AC110-I110,2))</f>
        <v>0.0</v>
      </c>
      <c r="T110" s="31">
        <f>IF(T109+AD110-J110&lt;=0.01,0,ROUND(T109+AD110-J110,2))</f>
        <v>0.0</v>
      </c>
      <c r="U110" s="31">
        <f>IF(U109+AE110-K110&lt;=0.01,0,ROUND(U109+AE110-K110,2))</f>
        <v>0.0</v>
      </c>
      <c r="V110" s="31">
        <f>IF(V109+AF110-L110&lt;=0.01,0,ROUND(V109+AF110-L110,2))</f>
        <v>0.0</v>
      </c>
      <c r="W110" s="31">
        <f>IF(W109+AG110-M110&lt;=0.01,0,ROUND(W109+AG110-M110,2))</f>
        <v>0.0</v>
      </c>
      <c r="X110" s="31">
        <f>IF(X109+AH110-N110&lt;=0.01,0,ROUND(X109+AH110-N110,2))</f>
        <v>0.0</v>
      </c>
      <c r="Y110" s="31">
        <f>IF(Y109+AI110-O110&lt;=0.01,0,ROUND(Y109+AI110-O110,2))</f>
        <v>0.0</v>
      </c>
      <c r="Z110" s="31">
        <f>IF(Z109+AJ110-P110&lt;=0.01,0,ROUND(Z109+AJ110-P110,2))</f>
        <v>0.0</v>
      </c>
      <c r="AA110" s="31">
        <f>IF(AA109+AK110-Q110&lt;=0.01,0,ROUND(AA109+AK110-Q110,2))</f>
        <v>0.0</v>
      </c>
      <c r="AB110" s="31">
        <f>ROUND(R109*AB$5/1200,2)</f>
        <v>0.0</v>
      </c>
      <c r="AC110" s="31">
        <f>ROUND(S109*AC$5/1200,2)</f>
        <v>0.0</v>
      </c>
      <c r="AD110" s="31">
        <f>ROUND(T109*AD$5/1200,2)</f>
        <v>0.0</v>
      </c>
      <c r="AE110" s="31">
        <f>ROUND(U109*AE$5/1200,2)</f>
        <v>0.0</v>
      </c>
      <c r="AF110" s="31">
        <f>ROUND(V109*AF$5/1200,2)</f>
        <v>0.0</v>
      </c>
      <c r="AG110" s="31">
        <f>ROUND(W109*AG$5/1200,2)</f>
        <v>0.0</v>
      </c>
      <c r="AH110" s="31">
        <f>ROUND(X109*AH$5/1200,2)</f>
        <v>0.0</v>
      </c>
      <c r="AI110" s="31">
        <f>ROUND(Y109*AI$5/1200,2)</f>
        <v>0.0</v>
      </c>
      <c r="AJ110" s="31">
        <f>ROUND(Z109*AJ$5/1200,2)</f>
        <v>0.0</v>
      </c>
      <c r="AK110" s="31">
        <f>ROUND(AA109*AK$5/1200,2)</f>
        <v>0.0</v>
      </c>
      <c r="AL110" s="31">
        <f>MIN(AL$5,R109+AB110)</f>
        <v>0.0</v>
      </c>
      <c r="AM110" s="31">
        <f>MIN(AM$5,S109+AC110)</f>
        <v>0.0</v>
      </c>
      <c r="AN110" s="31">
        <f>MIN(AN$5,T109+AD110)</f>
        <v>0.0</v>
      </c>
      <c r="AO110" s="31">
        <f>MIN(AO$5,U109+AE110)</f>
        <v>0.0</v>
      </c>
      <c r="AP110" s="31">
        <f>MIN(AP$5,V109+AF110)</f>
        <v>0.0</v>
      </c>
      <c r="AQ110" s="31">
        <f>MIN(AQ$5,W109+AG110)</f>
        <v>0.0</v>
      </c>
      <c r="AR110" s="31">
        <f>MIN(AR$5,X109+AH110)</f>
        <v>0.0</v>
      </c>
      <c r="AS110" s="31">
        <f>MIN(AS$5,Y109+AI110)</f>
        <v>0.0</v>
      </c>
      <c r="AT110" s="31">
        <f>MIN(AT$5,Z109+AJ110)</f>
        <v>0.0</v>
      </c>
      <c r="AU110" s="31">
        <f>MIN(AU$5,AA109+AK110)</f>
        <v>0.0</v>
      </c>
    </row>
    <row r="111">
      <c r="A111" s="25" t="str">
        <f>IF(F110&gt;0.005,106,"")</f>
        <v/>
      </c>
      <c r="B111" s="33" t="str">
        <f>IF(A111="","",EDATE(Долги!$D$5,105))</f>
        <v/>
      </c>
      <c r="C111" s="31">
        <f>SUM(H111:Q111)</f>
        <v>0.0</v>
      </c>
      <c r="D111" s="31">
        <f>SUM(AB111:AK111)</f>
        <v>0.0</v>
      </c>
      <c r="E111" s="31">
        <f>C111-D111</f>
        <v>0.0</v>
      </c>
      <c r="F111" s="31">
        <f>SUM(R111:AA111)</f>
        <v>0.0</v>
      </c>
      <c r="G111" s="34" t="str">
        <f>IF(OR(A111="",$F$5&lt;=0),"",REPT("█",ROUND(20*F111/$F$5,0)))</f>
        <v/>
      </c>
      <c r="H111" s="31">
        <f>AL111+MIN(R110+AB111-AL111,MAX(0,ROUND(Долги!$D$19-SUM($AL111:$AU111),2)))</f>
        <v>0.0</v>
      </c>
      <c r="I111" s="31">
        <f>AM111+MIN(S110+AC111-AM111,MAX(0,ROUND(ROUND(Долги!$D$19-SUM($AL111:$AU111),2)-(SUM($H111:H111)-SUM($AL111:AL111)),2)))</f>
        <v>0.0</v>
      </c>
      <c r="J111" s="31">
        <f>AN111+MIN(T110+AD111-AN111,MAX(0,ROUND(ROUND(Долги!$D$19-SUM($AL111:$AU111),2)-(SUM($H111:I111)-SUM($AL111:AM111)),2)))</f>
        <v>0.0</v>
      </c>
      <c r="K111" s="31">
        <f>AO111+MIN(U110+AE111-AO111,MAX(0,ROUND(ROUND(Долги!$D$19-SUM($AL111:$AU111),2)-(SUM($H111:J111)-SUM($AL111:AN111)),2)))</f>
        <v>0.0</v>
      </c>
      <c r="L111" s="31">
        <f>AP111+MIN(V110+AF111-AP111,MAX(0,ROUND(ROUND(Долги!$D$19-SUM($AL111:$AU111),2)-(SUM($H111:K111)-SUM($AL111:AO111)),2)))</f>
        <v>0.0</v>
      </c>
      <c r="M111" s="31">
        <f>AQ111+MIN(W110+AG111-AQ111,MAX(0,ROUND(ROUND(Долги!$D$19-SUM($AL111:$AU111),2)-(SUM($H111:L111)-SUM($AL111:AP111)),2)))</f>
        <v>0.0</v>
      </c>
      <c r="N111" s="31">
        <f>AR111+MIN(X110+AH111-AR111,MAX(0,ROUND(ROUND(Долги!$D$19-SUM($AL111:$AU111),2)-(SUM($H111:M111)-SUM($AL111:AQ111)),2)))</f>
        <v>0.0</v>
      </c>
      <c r="O111" s="31">
        <f>AS111+MIN(Y110+AI111-AS111,MAX(0,ROUND(ROUND(Долги!$D$19-SUM($AL111:$AU111),2)-(SUM($H111:N111)-SUM($AL111:AR111)),2)))</f>
        <v>0.0</v>
      </c>
      <c r="P111" s="31">
        <f>AT111+MIN(Z110+AJ111-AT111,MAX(0,ROUND(ROUND(Долги!$D$19-SUM($AL111:$AU111),2)-(SUM($H111:O111)-SUM($AL111:AS111)),2)))</f>
        <v>0.0</v>
      </c>
      <c r="Q111" s="31">
        <f>AU111+MIN(AA110+AK111-AU111,MAX(0,ROUND(ROUND(Долги!$D$19-SUM($AL111:$AU111),2)-(SUM($H111:P111)-SUM($AL111:AT111)),2)))</f>
        <v>0.0</v>
      </c>
      <c r="R111" s="31">
        <f>IF(R110+AB111-H111&lt;=0.01,0,ROUND(R110+AB111-H111,2))</f>
        <v>0.0</v>
      </c>
      <c r="S111" s="31">
        <f>IF(S110+AC111-I111&lt;=0.01,0,ROUND(S110+AC111-I111,2))</f>
        <v>0.0</v>
      </c>
      <c r="T111" s="31">
        <f>IF(T110+AD111-J111&lt;=0.01,0,ROUND(T110+AD111-J111,2))</f>
        <v>0.0</v>
      </c>
      <c r="U111" s="31">
        <f>IF(U110+AE111-K111&lt;=0.01,0,ROUND(U110+AE111-K111,2))</f>
        <v>0.0</v>
      </c>
      <c r="V111" s="31">
        <f>IF(V110+AF111-L111&lt;=0.01,0,ROUND(V110+AF111-L111,2))</f>
        <v>0.0</v>
      </c>
      <c r="W111" s="31">
        <f>IF(W110+AG111-M111&lt;=0.01,0,ROUND(W110+AG111-M111,2))</f>
        <v>0.0</v>
      </c>
      <c r="X111" s="31">
        <f>IF(X110+AH111-N111&lt;=0.01,0,ROUND(X110+AH111-N111,2))</f>
        <v>0.0</v>
      </c>
      <c r="Y111" s="31">
        <f>IF(Y110+AI111-O111&lt;=0.01,0,ROUND(Y110+AI111-O111,2))</f>
        <v>0.0</v>
      </c>
      <c r="Z111" s="31">
        <f>IF(Z110+AJ111-P111&lt;=0.01,0,ROUND(Z110+AJ111-P111,2))</f>
        <v>0.0</v>
      </c>
      <c r="AA111" s="31">
        <f>IF(AA110+AK111-Q111&lt;=0.01,0,ROUND(AA110+AK111-Q111,2))</f>
        <v>0.0</v>
      </c>
      <c r="AB111" s="31">
        <f>ROUND(R110*AB$5/1200,2)</f>
        <v>0.0</v>
      </c>
      <c r="AC111" s="31">
        <f>ROUND(S110*AC$5/1200,2)</f>
        <v>0.0</v>
      </c>
      <c r="AD111" s="31">
        <f>ROUND(T110*AD$5/1200,2)</f>
        <v>0.0</v>
      </c>
      <c r="AE111" s="31">
        <f>ROUND(U110*AE$5/1200,2)</f>
        <v>0.0</v>
      </c>
      <c r="AF111" s="31">
        <f>ROUND(V110*AF$5/1200,2)</f>
        <v>0.0</v>
      </c>
      <c r="AG111" s="31">
        <f>ROUND(W110*AG$5/1200,2)</f>
        <v>0.0</v>
      </c>
      <c r="AH111" s="31">
        <f>ROUND(X110*AH$5/1200,2)</f>
        <v>0.0</v>
      </c>
      <c r="AI111" s="31">
        <f>ROUND(Y110*AI$5/1200,2)</f>
        <v>0.0</v>
      </c>
      <c r="AJ111" s="31">
        <f>ROUND(Z110*AJ$5/1200,2)</f>
        <v>0.0</v>
      </c>
      <c r="AK111" s="31">
        <f>ROUND(AA110*AK$5/1200,2)</f>
        <v>0.0</v>
      </c>
      <c r="AL111" s="31">
        <f>MIN(AL$5,R110+AB111)</f>
        <v>0.0</v>
      </c>
      <c r="AM111" s="31">
        <f>MIN(AM$5,S110+AC111)</f>
        <v>0.0</v>
      </c>
      <c r="AN111" s="31">
        <f>MIN(AN$5,T110+AD111)</f>
        <v>0.0</v>
      </c>
      <c r="AO111" s="31">
        <f>MIN(AO$5,U110+AE111)</f>
        <v>0.0</v>
      </c>
      <c r="AP111" s="31">
        <f>MIN(AP$5,V110+AF111)</f>
        <v>0.0</v>
      </c>
      <c r="AQ111" s="31">
        <f>MIN(AQ$5,W110+AG111)</f>
        <v>0.0</v>
      </c>
      <c r="AR111" s="31">
        <f>MIN(AR$5,X110+AH111)</f>
        <v>0.0</v>
      </c>
      <c r="AS111" s="31">
        <f>MIN(AS$5,Y110+AI111)</f>
        <v>0.0</v>
      </c>
      <c r="AT111" s="31">
        <f>MIN(AT$5,Z110+AJ111)</f>
        <v>0.0</v>
      </c>
      <c r="AU111" s="31">
        <f>MIN(AU$5,AA110+AK111)</f>
        <v>0.0</v>
      </c>
    </row>
    <row r="112">
      <c r="A112" s="25" t="str">
        <f>IF(F111&gt;0.005,107,"")</f>
        <v/>
      </c>
      <c r="B112" s="33" t="str">
        <f>IF(A112="","",EDATE(Долги!$D$5,106))</f>
        <v/>
      </c>
      <c r="C112" s="31">
        <f>SUM(H112:Q112)</f>
        <v>0.0</v>
      </c>
      <c r="D112" s="31">
        <f>SUM(AB112:AK112)</f>
        <v>0.0</v>
      </c>
      <c r="E112" s="31">
        <f>C112-D112</f>
        <v>0.0</v>
      </c>
      <c r="F112" s="31">
        <f>SUM(R112:AA112)</f>
        <v>0.0</v>
      </c>
      <c r="G112" s="34" t="str">
        <f>IF(OR(A112="",$F$5&lt;=0),"",REPT("█",ROUND(20*F112/$F$5,0)))</f>
        <v/>
      </c>
      <c r="H112" s="31">
        <f>AL112+MIN(R111+AB112-AL112,MAX(0,ROUND(Долги!$D$19-SUM($AL112:$AU112),2)))</f>
        <v>0.0</v>
      </c>
      <c r="I112" s="31">
        <f>AM112+MIN(S111+AC112-AM112,MAX(0,ROUND(ROUND(Долги!$D$19-SUM($AL112:$AU112),2)-(SUM($H112:H112)-SUM($AL112:AL112)),2)))</f>
        <v>0.0</v>
      </c>
      <c r="J112" s="31">
        <f>AN112+MIN(T111+AD112-AN112,MAX(0,ROUND(ROUND(Долги!$D$19-SUM($AL112:$AU112),2)-(SUM($H112:I112)-SUM($AL112:AM112)),2)))</f>
        <v>0.0</v>
      </c>
      <c r="K112" s="31">
        <f>AO112+MIN(U111+AE112-AO112,MAX(0,ROUND(ROUND(Долги!$D$19-SUM($AL112:$AU112),2)-(SUM($H112:J112)-SUM($AL112:AN112)),2)))</f>
        <v>0.0</v>
      </c>
      <c r="L112" s="31">
        <f>AP112+MIN(V111+AF112-AP112,MAX(0,ROUND(ROUND(Долги!$D$19-SUM($AL112:$AU112),2)-(SUM($H112:K112)-SUM($AL112:AO112)),2)))</f>
        <v>0.0</v>
      </c>
      <c r="M112" s="31">
        <f>AQ112+MIN(W111+AG112-AQ112,MAX(0,ROUND(ROUND(Долги!$D$19-SUM($AL112:$AU112),2)-(SUM($H112:L112)-SUM($AL112:AP112)),2)))</f>
        <v>0.0</v>
      </c>
      <c r="N112" s="31">
        <f>AR112+MIN(X111+AH112-AR112,MAX(0,ROUND(ROUND(Долги!$D$19-SUM($AL112:$AU112),2)-(SUM($H112:M112)-SUM($AL112:AQ112)),2)))</f>
        <v>0.0</v>
      </c>
      <c r="O112" s="31">
        <f>AS112+MIN(Y111+AI112-AS112,MAX(0,ROUND(ROUND(Долги!$D$19-SUM($AL112:$AU112),2)-(SUM($H112:N112)-SUM($AL112:AR112)),2)))</f>
        <v>0.0</v>
      </c>
      <c r="P112" s="31">
        <f>AT112+MIN(Z111+AJ112-AT112,MAX(0,ROUND(ROUND(Долги!$D$19-SUM($AL112:$AU112),2)-(SUM($H112:O112)-SUM($AL112:AS112)),2)))</f>
        <v>0.0</v>
      </c>
      <c r="Q112" s="31">
        <f>AU112+MIN(AA111+AK112-AU112,MAX(0,ROUND(ROUND(Долги!$D$19-SUM($AL112:$AU112),2)-(SUM($H112:P112)-SUM($AL112:AT112)),2)))</f>
        <v>0.0</v>
      </c>
      <c r="R112" s="31">
        <f>IF(R111+AB112-H112&lt;=0.01,0,ROUND(R111+AB112-H112,2))</f>
        <v>0.0</v>
      </c>
      <c r="S112" s="31">
        <f>IF(S111+AC112-I112&lt;=0.01,0,ROUND(S111+AC112-I112,2))</f>
        <v>0.0</v>
      </c>
      <c r="T112" s="31">
        <f>IF(T111+AD112-J112&lt;=0.01,0,ROUND(T111+AD112-J112,2))</f>
        <v>0.0</v>
      </c>
      <c r="U112" s="31">
        <f>IF(U111+AE112-K112&lt;=0.01,0,ROUND(U111+AE112-K112,2))</f>
        <v>0.0</v>
      </c>
      <c r="V112" s="31">
        <f>IF(V111+AF112-L112&lt;=0.01,0,ROUND(V111+AF112-L112,2))</f>
        <v>0.0</v>
      </c>
      <c r="W112" s="31">
        <f>IF(W111+AG112-M112&lt;=0.01,0,ROUND(W111+AG112-M112,2))</f>
        <v>0.0</v>
      </c>
      <c r="X112" s="31">
        <f>IF(X111+AH112-N112&lt;=0.01,0,ROUND(X111+AH112-N112,2))</f>
        <v>0.0</v>
      </c>
      <c r="Y112" s="31">
        <f>IF(Y111+AI112-O112&lt;=0.01,0,ROUND(Y111+AI112-O112,2))</f>
        <v>0.0</v>
      </c>
      <c r="Z112" s="31">
        <f>IF(Z111+AJ112-P112&lt;=0.01,0,ROUND(Z111+AJ112-P112,2))</f>
        <v>0.0</v>
      </c>
      <c r="AA112" s="31">
        <f>IF(AA111+AK112-Q112&lt;=0.01,0,ROUND(AA111+AK112-Q112,2))</f>
        <v>0.0</v>
      </c>
      <c r="AB112" s="31">
        <f>ROUND(R111*AB$5/1200,2)</f>
        <v>0.0</v>
      </c>
      <c r="AC112" s="31">
        <f>ROUND(S111*AC$5/1200,2)</f>
        <v>0.0</v>
      </c>
      <c r="AD112" s="31">
        <f>ROUND(T111*AD$5/1200,2)</f>
        <v>0.0</v>
      </c>
      <c r="AE112" s="31">
        <f>ROUND(U111*AE$5/1200,2)</f>
        <v>0.0</v>
      </c>
      <c r="AF112" s="31">
        <f>ROUND(V111*AF$5/1200,2)</f>
        <v>0.0</v>
      </c>
      <c r="AG112" s="31">
        <f>ROUND(W111*AG$5/1200,2)</f>
        <v>0.0</v>
      </c>
      <c r="AH112" s="31">
        <f>ROUND(X111*AH$5/1200,2)</f>
        <v>0.0</v>
      </c>
      <c r="AI112" s="31">
        <f>ROUND(Y111*AI$5/1200,2)</f>
        <v>0.0</v>
      </c>
      <c r="AJ112" s="31">
        <f>ROUND(Z111*AJ$5/1200,2)</f>
        <v>0.0</v>
      </c>
      <c r="AK112" s="31">
        <f>ROUND(AA111*AK$5/1200,2)</f>
        <v>0.0</v>
      </c>
      <c r="AL112" s="31">
        <f>MIN(AL$5,R111+AB112)</f>
        <v>0.0</v>
      </c>
      <c r="AM112" s="31">
        <f>MIN(AM$5,S111+AC112)</f>
        <v>0.0</v>
      </c>
      <c r="AN112" s="31">
        <f>MIN(AN$5,T111+AD112)</f>
        <v>0.0</v>
      </c>
      <c r="AO112" s="31">
        <f>MIN(AO$5,U111+AE112)</f>
        <v>0.0</v>
      </c>
      <c r="AP112" s="31">
        <f>MIN(AP$5,V111+AF112)</f>
        <v>0.0</v>
      </c>
      <c r="AQ112" s="31">
        <f>MIN(AQ$5,W111+AG112)</f>
        <v>0.0</v>
      </c>
      <c r="AR112" s="31">
        <f>MIN(AR$5,X111+AH112)</f>
        <v>0.0</v>
      </c>
      <c r="AS112" s="31">
        <f>MIN(AS$5,Y111+AI112)</f>
        <v>0.0</v>
      </c>
      <c r="AT112" s="31">
        <f>MIN(AT$5,Z111+AJ112)</f>
        <v>0.0</v>
      </c>
      <c r="AU112" s="31">
        <f>MIN(AU$5,AA111+AK112)</f>
        <v>0.0</v>
      </c>
    </row>
    <row r="113">
      <c r="A113" s="25" t="str">
        <f>IF(F112&gt;0.005,108,"")</f>
        <v/>
      </c>
      <c r="B113" s="33" t="str">
        <f>IF(A113="","",EDATE(Долги!$D$5,107))</f>
        <v/>
      </c>
      <c r="C113" s="31">
        <f>SUM(H113:Q113)</f>
        <v>0.0</v>
      </c>
      <c r="D113" s="31">
        <f>SUM(AB113:AK113)</f>
        <v>0.0</v>
      </c>
      <c r="E113" s="31">
        <f>C113-D113</f>
        <v>0.0</v>
      </c>
      <c r="F113" s="31">
        <f>SUM(R113:AA113)</f>
        <v>0.0</v>
      </c>
      <c r="G113" s="34" t="str">
        <f>IF(OR(A113="",$F$5&lt;=0),"",REPT("█",ROUND(20*F113/$F$5,0)))</f>
        <v/>
      </c>
      <c r="H113" s="31">
        <f>AL113+MIN(R112+AB113-AL113,MAX(0,ROUND(Долги!$D$19-SUM($AL113:$AU113),2)))</f>
        <v>0.0</v>
      </c>
      <c r="I113" s="31">
        <f>AM113+MIN(S112+AC113-AM113,MAX(0,ROUND(ROUND(Долги!$D$19-SUM($AL113:$AU113),2)-(SUM($H113:H113)-SUM($AL113:AL113)),2)))</f>
        <v>0.0</v>
      </c>
      <c r="J113" s="31">
        <f>AN113+MIN(T112+AD113-AN113,MAX(0,ROUND(ROUND(Долги!$D$19-SUM($AL113:$AU113),2)-(SUM($H113:I113)-SUM($AL113:AM113)),2)))</f>
        <v>0.0</v>
      </c>
      <c r="K113" s="31">
        <f>AO113+MIN(U112+AE113-AO113,MAX(0,ROUND(ROUND(Долги!$D$19-SUM($AL113:$AU113),2)-(SUM($H113:J113)-SUM($AL113:AN113)),2)))</f>
        <v>0.0</v>
      </c>
      <c r="L113" s="31">
        <f>AP113+MIN(V112+AF113-AP113,MAX(0,ROUND(ROUND(Долги!$D$19-SUM($AL113:$AU113),2)-(SUM($H113:K113)-SUM($AL113:AO113)),2)))</f>
        <v>0.0</v>
      </c>
      <c r="M113" s="31">
        <f>AQ113+MIN(W112+AG113-AQ113,MAX(0,ROUND(ROUND(Долги!$D$19-SUM($AL113:$AU113),2)-(SUM($H113:L113)-SUM($AL113:AP113)),2)))</f>
        <v>0.0</v>
      </c>
      <c r="N113" s="31">
        <f>AR113+MIN(X112+AH113-AR113,MAX(0,ROUND(ROUND(Долги!$D$19-SUM($AL113:$AU113),2)-(SUM($H113:M113)-SUM($AL113:AQ113)),2)))</f>
        <v>0.0</v>
      </c>
      <c r="O113" s="31">
        <f>AS113+MIN(Y112+AI113-AS113,MAX(0,ROUND(ROUND(Долги!$D$19-SUM($AL113:$AU113),2)-(SUM($H113:N113)-SUM($AL113:AR113)),2)))</f>
        <v>0.0</v>
      </c>
      <c r="P113" s="31">
        <f>AT113+MIN(Z112+AJ113-AT113,MAX(0,ROUND(ROUND(Долги!$D$19-SUM($AL113:$AU113),2)-(SUM($H113:O113)-SUM($AL113:AS113)),2)))</f>
        <v>0.0</v>
      </c>
      <c r="Q113" s="31">
        <f>AU113+MIN(AA112+AK113-AU113,MAX(0,ROUND(ROUND(Долги!$D$19-SUM($AL113:$AU113),2)-(SUM($H113:P113)-SUM($AL113:AT113)),2)))</f>
        <v>0.0</v>
      </c>
      <c r="R113" s="31">
        <f>IF(R112+AB113-H113&lt;=0.01,0,ROUND(R112+AB113-H113,2))</f>
        <v>0.0</v>
      </c>
      <c r="S113" s="31">
        <f>IF(S112+AC113-I113&lt;=0.01,0,ROUND(S112+AC113-I113,2))</f>
        <v>0.0</v>
      </c>
      <c r="T113" s="31">
        <f>IF(T112+AD113-J113&lt;=0.01,0,ROUND(T112+AD113-J113,2))</f>
        <v>0.0</v>
      </c>
      <c r="U113" s="31">
        <f>IF(U112+AE113-K113&lt;=0.01,0,ROUND(U112+AE113-K113,2))</f>
        <v>0.0</v>
      </c>
      <c r="V113" s="31">
        <f>IF(V112+AF113-L113&lt;=0.01,0,ROUND(V112+AF113-L113,2))</f>
        <v>0.0</v>
      </c>
      <c r="W113" s="31">
        <f>IF(W112+AG113-M113&lt;=0.01,0,ROUND(W112+AG113-M113,2))</f>
        <v>0.0</v>
      </c>
      <c r="X113" s="31">
        <f>IF(X112+AH113-N113&lt;=0.01,0,ROUND(X112+AH113-N113,2))</f>
        <v>0.0</v>
      </c>
      <c r="Y113" s="31">
        <f>IF(Y112+AI113-O113&lt;=0.01,0,ROUND(Y112+AI113-O113,2))</f>
        <v>0.0</v>
      </c>
      <c r="Z113" s="31">
        <f>IF(Z112+AJ113-P113&lt;=0.01,0,ROUND(Z112+AJ113-P113,2))</f>
        <v>0.0</v>
      </c>
      <c r="AA113" s="31">
        <f>IF(AA112+AK113-Q113&lt;=0.01,0,ROUND(AA112+AK113-Q113,2))</f>
        <v>0.0</v>
      </c>
      <c r="AB113" s="31">
        <f>ROUND(R112*AB$5/1200,2)</f>
        <v>0.0</v>
      </c>
      <c r="AC113" s="31">
        <f>ROUND(S112*AC$5/1200,2)</f>
        <v>0.0</v>
      </c>
      <c r="AD113" s="31">
        <f>ROUND(T112*AD$5/1200,2)</f>
        <v>0.0</v>
      </c>
      <c r="AE113" s="31">
        <f>ROUND(U112*AE$5/1200,2)</f>
        <v>0.0</v>
      </c>
      <c r="AF113" s="31">
        <f>ROUND(V112*AF$5/1200,2)</f>
        <v>0.0</v>
      </c>
      <c r="AG113" s="31">
        <f>ROUND(W112*AG$5/1200,2)</f>
        <v>0.0</v>
      </c>
      <c r="AH113" s="31">
        <f>ROUND(X112*AH$5/1200,2)</f>
        <v>0.0</v>
      </c>
      <c r="AI113" s="31">
        <f>ROUND(Y112*AI$5/1200,2)</f>
        <v>0.0</v>
      </c>
      <c r="AJ113" s="31">
        <f>ROUND(Z112*AJ$5/1200,2)</f>
        <v>0.0</v>
      </c>
      <c r="AK113" s="31">
        <f>ROUND(AA112*AK$5/1200,2)</f>
        <v>0.0</v>
      </c>
      <c r="AL113" s="31">
        <f>MIN(AL$5,R112+AB113)</f>
        <v>0.0</v>
      </c>
      <c r="AM113" s="31">
        <f>MIN(AM$5,S112+AC113)</f>
        <v>0.0</v>
      </c>
      <c r="AN113" s="31">
        <f>MIN(AN$5,T112+AD113)</f>
        <v>0.0</v>
      </c>
      <c r="AO113" s="31">
        <f>MIN(AO$5,U112+AE113)</f>
        <v>0.0</v>
      </c>
      <c r="AP113" s="31">
        <f>MIN(AP$5,V112+AF113)</f>
        <v>0.0</v>
      </c>
      <c r="AQ113" s="31">
        <f>MIN(AQ$5,W112+AG113)</f>
        <v>0.0</v>
      </c>
      <c r="AR113" s="31">
        <f>MIN(AR$5,X112+AH113)</f>
        <v>0.0</v>
      </c>
      <c r="AS113" s="31">
        <f>MIN(AS$5,Y112+AI113)</f>
        <v>0.0</v>
      </c>
      <c r="AT113" s="31">
        <f>MIN(AT$5,Z112+AJ113)</f>
        <v>0.0</v>
      </c>
      <c r="AU113" s="31">
        <f>MIN(AU$5,AA112+AK113)</f>
        <v>0.0</v>
      </c>
    </row>
    <row r="114">
      <c r="A114" s="25" t="str">
        <f>IF(F113&gt;0.005,109,"")</f>
        <v/>
      </c>
      <c r="B114" s="33" t="str">
        <f>IF(A114="","",EDATE(Долги!$D$5,108))</f>
        <v/>
      </c>
      <c r="C114" s="31">
        <f>SUM(H114:Q114)</f>
        <v>0.0</v>
      </c>
      <c r="D114" s="31">
        <f>SUM(AB114:AK114)</f>
        <v>0.0</v>
      </c>
      <c r="E114" s="31">
        <f>C114-D114</f>
        <v>0.0</v>
      </c>
      <c r="F114" s="31">
        <f>SUM(R114:AA114)</f>
        <v>0.0</v>
      </c>
      <c r="G114" s="34" t="str">
        <f>IF(OR(A114="",$F$5&lt;=0),"",REPT("█",ROUND(20*F114/$F$5,0)))</f>
        <v/>
      </c>
      <c r="H114" s="31">
        <f>AL114+MIN(R113+AB114-AL114,MAX(0,ROUND(Долги!$D$19-SUM($AL114:$AU114),2)))</f>
        <v>0.0</v>
      </c>
      <c r="I114" s="31">
        <f>AM114+MIN(S113+AC114-AM114,MAX(0,ROUND(ROUND(Долги!$D$19-SUM($AL114:$AU114),2)-(SUM($H114:H114)-SUM($AL114:AL114)),2)))</f>
        <v>0.0</v>
      </c>
      <c r="J114" s="31">
        <f>AN114+MIN(T113+AD114-AN114,MAX(0,ROUND(ROUND(Долги!$D$19-SUM($AL114:$AU114),2)-(SUM($H114:I114)-SUM($AL114:AM114)),2)))</f>
        <v>0.0</v>
      </c>
      <c r="K114" s="31">
        <f>AO114+MIN(U113+AE114-AO114,MAX(0,ROUND(ROUND(Долги!$D$19-SUM($AL114:$AU114),2)-(SUM($H114:J114)-SUM($AL114:AN114)),2)))</f>
        <v>0.0</v>
      </c>
      <c r="L114" s="31">
        <f>AP114+MIN(V113+AF114-AP114,MAX(0,ROUND(ROUND(Долги!$D$19-SUM($AL114:$AU114),2)-(SUM($H114:K114)-SUM($AL114:AO114)),2)))</f>
        <v>0.0</v>
      </c>
      <c r="M114" s="31">
        <f>AQ114+MIN(W113+AG114-AQ114,MAX(0,ROUND(ROUND(Долги!$D$19-SUM($AL114:$AU114),2)-(SUM($H114:L114)-SUM($AL114:AP114)),2)))</f>
        <v>0.0</v>
      </c>
      <c r="N114" s="31">
        <f>AR114+MIN(X113+AH114-AR114,MAX(0,ROUND(ROUND(Долги!$D$19-SUM($AL114:$AU114),2)-(SUM($H114:M114)-SUM($AL114:AQ114)),2)))</f>
        <v>0.0</v>
      </c>
      <c r="O114" s="31">
        <f>AS114+MIN(Y113+AI114-AS114,MAX(0,ROUND(ROUND(Долги!$D$19-SUM($AL114:$AU114),2)-(SUM($H114:N114)-SUM($AL114:AR114)),2)))</f>
        <v>0.0</v>
      </c>
      <c r="P114" s="31">
        <f>AT114+MIN(Z113+AJ114-AT114,MAX(0,ROUND(ROUND(Долги!$D$19-SUM($AL114:$AU114),2)-(SUM($H114:O114)-SUM($AL114:AS114)),2)))</f>
        <v>0.0</v>
      </c>
      <c r="Q114" s="31">
        <f>AU114+MIN(AA113+AK114-AU114,MAX(0,ROUND(ROUND(Долги!$D$19-SUM($AL114:$AU114),2)-(SUM($H114:P114)-SUM($AL114:AT114)),2)))</f>
        <v>0.0</v>
      </c>
      <c r="R114" s="31">
        <f>IF(R113+AB114-H114&lt;=0.01,0,ROUND(R113+AB114-H114,2))</f>
        <v>0.0</v>
      </c>
      <c r="S114" s="31">
        <f>IF(S113+AC114-I114&lt;=0.01,0,ROUND(S113+AC114-I114,2))</f>
        <v>0.0</v>
      </c>
      <c r="T114" s="31">
        <f>IF(T113+AD114-J114&lt;=0.01,0,ROUND(T113+AD114-J114,2))</f>
        <v>0.0</v>
      </c>
      <c r="U114" s="31">
        <f>IF(U113+AE114-K114&lt;=0.01,0,ROUND(U113+AE114-K114,2))</f>
        <v>0.0</v>
      </c>
      <c r="V114" s="31">
        <f>IF(V113+AF114-L114&lt;=0.01,0,ROUND(V113+AF114-L114,2))</f>
        <v>0.0</v>
      </c>
      <c r="W114" s="31">
        <f>IF(W113+AG114-M114&lt;=0.01,0,ROUND(W113+AG114-M114,2))</f>
        <v>0.0</v>
      </c>
      <c r="X114" s="31">
        <f>IF(X113+AH114-N114&lt;=0.01,0,ROUND(X113+AH114-N114,2))</f>
        <v>0.0</v>
      </c>
      <c r="Y114" s="31">
        <f>IF(Y113+AI114-O114&lt;=0.01,0,ROUND(Y113+AI114-O114,2))</f>
        <v>0.0</v>
      </c>
      <c r="Z114" s="31">
        <f>IF(Z113+AJ114-P114&lt;=0.01,0,ROUND(Z113+AJ114-P114,2))</f>
        <v>0.0</v>
      </c>
      <c r="AA114" s="31">
        <f>IF(AA113+AK114-Q114&lt;=0.01,0,ROUND(AA113+AK114-Q114,2))</f>
        <v>0.0</v>
      </c>
      <c r="AB114" s="31">
        <f>ROUND(R113*AB$5/1200,2)</f>
        <v>0.0</v>
      </c>
      <c r="AC114" s="31">
        <f>ROUND(S113*AC$5/1200,2)</f>
        <v>0.0</v>
      </c>
      <c r="AD114" s="31">
        <f>ROUND(T113*AD$5/1200,2)</f>
        <v>0.0</v>
      </c>
      <c r="AE114" s="31">
        <f>ROUND(U113*AE$5/1200,2)</f>
        <v>0.0</v>
      </c>
      <c r="AF114" s="31">
        <f>ROUND(V113*AF$5/1200,2)</f>
        <v>0.0</v>
      </c>
      <c r="AG114" s="31">
        <f>ROUND(W113*AG$5/1200,2)</f>
        <v>0.0</v>
      </c>
      <c r="AH114" s="31">
        <f>ROUND(X113*AH$5/1200,2)</f>
        <v>0.0</v>
      </c>
      <c r="AI114" s="31">
        <f>ROUND(Y113*AI$5/1200,2)</f>
        <v>0.0</v>
      </c>
      <c r="AJ114" s="31">
        <f>ROUND(Z113*AJ$5/1200,2)</f>
        <v>0.0</v>
      </c>
      <c r="AK114" s="31">
        <f>ROUND(AA113*AK$5/1200,2)</f>
        <v>0.0</v>
      </c>
      <c r="AL114" s="31">
        <f>MIN(AL$5,R113+AB114)</f>
        <v>0.0</v>
      </c>
      <c r="AM114" s="31">
        <f>MIN(AM$5,S113+AC114)</f>
        <v>0.0</v>
      </c>
      <c r="AN114" s="31">
        <f>MIN(AN$5,T113+AD114)</f>
        <v>0.0</v>
      </c>
      <c r="AO114" s="31">
        <f>MIN(AO$5,U113+AE114)</f>
        <v>0.0</v>
      </c>
      <c r="AP114" s="31">
        <f>MIN(AP$5,V113+AF114)</f>
        <v>0.0</v>
      </c>
      <c r="AQ114" s="31">
        <f>MIN(AQ$5,W113+AG114)</f>
        <v>0.0</v>
      </c>
      <c r="AR114" s="31">
        <f>MIN(AR$5,X113+AH114)</f>
        <v>0.0</v>
      </c>
      <c r="AS114" s="31">
        <f>MIN(AS$5,Y113+AI114)</f>
        <v>0.0</v>
      </c>
      <c r="AT114" s="31">
        <f>MIN(AT$5,Z113+AJ114)</f>
        <v>0.0</v>
      </c>
      <c r="AU114" s="31">
        <f>MIN(AU$5,AA113+AK114)</f>
        <v>0.0</v>
      </c>
    </row>
    <row r="115">
      <c r="A115" s="25" t="str">
        <f>IF(F114&gt;0.005,110,"")</f>
        <v/>
      </c>
      <c r="B115" s="33" t="str">
        <f>IF(A115="","",EDATE(Долги!$D$5,109))</f>
        <v/>
      </c>
      <c r="C115" s="31">
        <f>SUM(H115:Q115)</f>
        <v>0.0</v>
      </c>
      <c r="D115" s="31">
        <f>SUM(AB115:AK115)</f>
        <v>0.0</v>
      </c>
      <c r="E115" s="31">
        <f>C115-D115</f>
        <v>0.0</v>
      </c>
      <c r="F115" s="31">
        <f>SUM(R115:AA115)</f>
        <v>0.0</v>
      </c>
      <c r="G115" s="34" t="str">
        <f>IF(OR(A115="",$F$5&lt;=0),"",REPT("█",ROUND(20*F115/$F$5,0)))</f>
        <v/>
      </c>
      <c r="H115" s="31">
        <f>AL115+MIN(R114+AB115-AL115,MAX(0,ROUND(Долги!$D$19-SUM($AL115:$AU115),2)))</f>
        <v>0.0</v>
      </c>
      <c r="I115" s="31">
        <f>AM115+MIN(S114+AC115-AM115,MAX(0,ROUND(ROUND(Долги!$D$19-SUM($AL115:$AU115),2)-(SUM($H115:H115)-SUM($AL115:AL115)),2)))</f>
        <v>0.0</v>
      </c>
      <c r="J115" s="31">
        <f>AN115+MIN(T114+AD115-AN115,MAX(0,ROUND(ROUND(Долги!$D$19-SUM($AL115:$AU115),2)-(SUM($H115:I115)-SUM($AL115:AM115)),2)))</f>
        <v>0.0</v>
      </c>
      <c r="K115" s="31">
        <f>AO115+MIN(U114+AE115-AO115,MAX(0,ROUND(ROUND(Долги!$D$19-SUM($AL115:$AU115),2)-(SUM($H115:J115)-SUM($AL115:AN115)),2)))</f>
        <v>0.0</v>
      </c>
      <c r="L115" s="31">
        <f>AP115+MIN(V114+AF115-AP115,MAX(0,ROUND(ROUND(Долги!$D$19-SUM($AL115:$AU115),2)-(SUM($H115:K115)-SUM($AL115:AO115)),2)))</f>
        <v>0.0</v>
      </c>
      <c r="M115" s="31">
        <f>AQ115+MIN(W114+AG115-AQ115,MAX(0,ROUND(ROUND(Долги!$D$19-SUM($AL115:$AU115),2)-(SUM($H115:L115)-SUM($AL115:AP115)),2)))</f>
        <v>0.0</v>
      </c>
      <c r="N115" s="31">
        <f>AR115+MIN(X114+AH115-AR115,MAX(0,ROUND(ROUND(Долги!$D$19-SUM($AL115:$AU115),2)-(SUM($H115:M115)-SUM($AL115:AQ115)),2)))</f>
        <v>0.0</v>
      </c>
      <c r="O115" s="31">
        <f>AS115+MIN(Y114+AI115-AS115,MAX(0,ROUND(ROUND(Долги!$D$19-SUM($AL115:$AU115),2)-(SUM($H115:N115)-SUM($AL115:AR115)),2)))</f>
        <v>0.0</v>
      </c>
      <c r="P115" s="31">
        <f>AT115+MIN(Z114+AJ115-AT115,MAX(0,ROUND(ROUND(Долги!$D$19-SUM($AL115:$AU115),2)-(SUM($H115:O115)-SUM($AL115:AS115)),2)))</f>
        <v>0.0</v>
      </c>
      <c r="Q115" s="31">
        <f>AU115+MIN(AA114+AK115-AU115,MAX(0,ROUND(ROUND(Долги!$D$19-SUM($AL115:$AU115),2)-(SUM($H115:P115)-SUM($AL115:AT115)),2)))</f>
        <v>0.0</v>
      </c>
      <c r="R115" s="31">
        <f>IF(R114+AB115-H115&lt;=0.01,0,ROUND(R114+AB115-H115,2))</f>
        <v>0.0</v>
      </c>
      <c r="S115" s="31">
        <f>IF(S114+AC115-I115&lt;=0.01,0,ROUND(S114+AC115-I115,2))</f>
        <v>0.0</v>
      </c>
      <c r="T115" s="31">
        <f>IF(T114+AD115-J115&lt;=0.01,0,ROUND(T114+AD115-J115,2))</f>
        <v>0.0</v>
      </c>
      <c r="U115" s="31">
        <f>IF(U114+AE115-K115&lt;=0.01,0,ROUND(U114+AE115-K115,2))</f>
        <v>0.0</v>
      </c>
      <c r="V115" s="31">
        <f>IF(V114+AF115-L115&lt;=0.01,0,ROUND(V114+AF115-L115,2))</f>
        <v>0.0</v>
      </c>
      <c r="W115" s="31">
        <f>IF(W114+AG115-M115&lt;=0.01,0,ROUND(W114+AG115-M115,2))</f>
        <v>0.0</v>
      </c>
      <c r="X115" s="31">
        <f>IF(X114+AH115-N115&lt;=0.01,0,ROUND(X114+AH115-N115,2))</f>
        <v>0.0</v>
      </c>
      <c r="Y115" s="31">
        <f>IF(Y114+AI115-O115&lt;=0.01,0,ROUND(Y114+AI115-O115,2))</f>
        <v>0.0</v>
      </c>
      <c r="Z115" s="31">
        <f>IF(Z114+AJ115-P115&lt;=0.01,0,ROUND(Z114+AJ115-P115,2))</f>
        <v>0.0</v>
      </c>
      <c r="AA115" s="31">
        <f>IF(AA114+AK115-Q115&lt;=0.01,0,ROUND(AA114+AK115-Q115,2))</f>
        <v>0.0</v>
      </c>
      <c r="AB115" s="31">
        <f>ROUND(R114*AB$5/1200,2)</f>
        <v>0.0</v>
      </c>
      <c r="AC115" s="31">
        <f>ROUND(S114*AC$5/1200,2)</f>
        <v>0.0</v>
      </c>
      <c r="AD115" s="31">
        <f>ROUND(T114*AD$5/1200,2)</f>
        <v>0.0</v>
      </c>
      <c r="AE115" s="31">
        <f>ROUND(U114*AE$5/1200,2)</f>
        <v>0.0</v>
      </c>
      <c r="AF115" s="31">
        <f>ROUND(V114*AF$5/1200,2)</f>
        <v>0.0</v>
      </c>
      <c r="AG115" s="31">
        <f>ROUND(W114*AG$5/1200,2)</f>
        <v>0.0</v>
      </c>
      <c r="AH115" s="31">
        <f>ROUND(X114*AH$5/1200,2)</f>
        <v>0.0</v>
      </c>
      <c r="AI115" s="31">
        <f>ROUND(Y114*AI$5/1200,2)</f>
        <v>0.0</v>
      </c>
      <c r="AJ115" s="31">
        <f>ROUND(Z114*AJ$5/1200,2)</f>
        <v>0.0</v>
      </c>
      <c r="AK115" s="31">
        <f>ROUND(AA114*AK$5/1200,2)</f>
        <v>0.0</v>
      </c>
      <c r="AL115" s="31">
        <f>MIN(AL$5,R114+AB115)</f>
        <v>0.0</v>
      </c>
      <c r="AM115" s="31">
        <f>MIN(AM$5,S114+AC115)</f>
        <v>0.0</v>
      </c>
      <c r="AN115" s="31">
        <f>MIN(AN$5,T114+AD115)</f>
        <v>0.0</v>
      </c>
      <c r="AO115" s="31">
        <f>MIN(AO$5,U114+AE115)</f>
        <v>0.0</v>
      </c>
      <c r="AP115" s="31">
        <f>MIN(AP$5,V114+AF115)</f>
        <v>0.0</v>
      </c>
      <c r="AQ115" s="31">
        <f>MIN(AQ$5,W114+AG115)</f>
        <v>0.0</v>
      </c>
      <c r="AR115" s="31">
        <f>MIN(AR$5,X114+AH115)</f>
        <v>0.0</v>
      </c>
      <c r="AS115" s="31">
        <f>MIN(AS$5,Y114+AI115)</f>
        <v>0.0</v>
      </c>
      <c r="AT115" s="31">
        <f>MIN(AT$5,Z114+AJ115)</f>
        <v>0.0</v>
      </c>
      <c r="AU115" s="31">
        <f>MIN(AU$5,AA114+AK115)</f>
        <v>0.0</v>
      </c>
    </row>
    <row r="116">
      <c r="A116" s="25" t="str">
        <f>IF(F115&gt;0.005,111,"")</f>
        <v/>
      </c>
      <c r="B116" s="33" t="str">
        <f>IF(A116="","",EDATE(Долги!$D$5,110))</f>
        <v/>
      </c>
      <c r="C116" s="31">
        <f>SUM(H116:Q116)</f>
        <v>0.0</v>
      </c>
      <c r="D116" s="31">
        <f>SUM(AB116:AK116)</f>
        <v>0.0</v>
      </c>
      <c r="E116" s="31">
        <f>C116-D116</f>
        <v>0.0</v>
      </c>
      <c r="F116" s="31">
        <f>SUM(R116:AA116)</f>
        <v>0.0</v>
      </c>
      <c r="G116" s="34" t="str">
        <f>IF(OR(A116="",$F$5&lt;=0),"",REPT("█",ROUND(20*F116/$F$5,0)))</f>
        <v/>
      </c>
      <c r="H116" s="31">
        <f>AL116+MIN(R115+AB116-AL116,MAX(0,ROUND(Долги!$D$19-SUM($AL116:$AU116),2)))</f>
        <v>0.0</v>
      </c>
      <c r="I116" s="31">
        <f>AM116+MIN(S115+AC116-AM116,MAX(0,ROUND(ROUND(Долги!$D$19-SUM($AL116:$AU116),2)-(SUM($H116:H116)-SUM($AL116:AL116)),2)))</f>
        <v>0.0</v>
      </c>
      <c r="J116" s="31">
        <f>AN116+MIN(T115+AD116-AN116,MAX(0,ROUND(ROUND(Долги!$D$19-SUM($AL116:$AU116),2)-(SUM($H116:I116)-SUM($AL116:AM116)),2)))</f>
        <v>0.0</v>
      </c>
      <c r="K116" s="31">
        <f>AO116+MIN(U115+AE116-AO116,MAX(0,ROUND(ROUND(Долги!$D$19-SUM($AL116:$AU116),2)-(SUM($H116:J116)-SUM($AL116:AN116)),2)))</f>
        <v>0.0</v>
      </c>
      <c r="L116" s="31">
        <f>AP116+MIN(V115+AF116-AP116,MAX(0,ROUND(ROUND(Долги!$D$19-SUM($AL116:$AU116),2)-(SUM($H116:K116)-SUM($AL116:AO116)),2)))</f>
        <v>0.0</v>
      </c>
      <c r="M116" s="31">
        <f>AQ116+MIN(W115+AG116-AQ116,MAX(0,ROUND(ROUND(Долги!$D$19-SUM($AL116:$AU116),2)-(SUM($H116:L116)-SUM($AL116:AP116)),2)))</f>
        <v>0.0</v>
      </c>
      <c r="N116" s="31">
        <f>AR116+MIN(X115+AH116-AR116,MAX(0,ROUND(ROUND(Долги!$D$19-SUM($AL116:$AU116),2)-(SUM($H116:M116)-SUM($AL116:AQ116)),2)))</f>
        <v>0.0</v>
      </c>
      <c r="O116" s="31">
        <f>AS116+MIN(Y115+AI116-AS116,MAX(0,ROUND(ROUND(Долги!$D$19-SUM($AL116:$AU116),2)-(SUM($H116:N116)-SUM($AL116:AR116)),2)))</f>
        <v>0.0</v>
      </c>
      <c r="P116" s="31">
        <f>AT116+MIN(Z115+AJ116-AT116,MAX(0,ROUND(ROUND(Долги!$D$19-SUM($AL116:$AU116),2)-(SUM($H116:O116)-SUM($AL116:AS116)),2)))</f>
        <v>0.0</v>
      </c>
      <c r="Q116" s="31">
        <f>AU116+MIN(AA115+AK116-AU116,MAX(0,ROUND(ROUND(Долги!$D$19-SUM($AL116:$AU116),2)-(SUM($H116:P116)-SUM($AL116:AT116)),2)))</f>
        <v>0.0</v>
      </c>
      <c r="R116" s="31">
        <f>IF(R115+AB116-H116&lt;=0.01,0,ROUND(R115+AB116-H116,2))</f>
        <v>0.0</v>
      </c>
      <c r="S116" s="31">
        <f>IF(S115+AC116-I116&lt;=0.01,0,ROUND(S115+AC116-I116,2))</f>
        <v>0.0</v>
      </c>
      <c r="T116" s="31">
        <f>IF(T115+AD116-J116&lt;=0.01,0,ROUND(T115+AD116-J116,2))</f>
        <v>0.0</v>
      </c>
      <c r="U116" s="31">
        <f>IF(U115+AE116-K116&lt;=0.01,0,ROUND(U115+AE116-K116,2))</f>
        <v>0.0</v>
      </c>
      <c r="V116" s="31">
        <f>IF(V115+AF116-L116&lt;=0.01,0,ROUND(V115+AF116-L116,2))</f>
        <v>0.0</v>
      </c>
      <c r="W116" s="31">
        <f>IF(W115+AG116-M116&lt;=0.01,0,ROUND(W115+AG116-M116,2))</f>
        <v>0.0</v>
      </c>
      <c r="X116" s="31">
        <f>IF(X115+AH116-N116&lt;=0.01,0,ROUND(X115+AH116-N116,2))</f>
        <v>0.0</v>
      </c>
      <c r="Y116" s="31">
        <f>IF(Y115+AI116-O116&lt;=0.01,0,ROUND(Y115+AI116-O116,2))</f>
        <v>0.0</v>
      </c>
      <c r="Z116" s="31">
        <f>IF(Z115+AJ116-P116&lt;=0.01,0,ROUND(Z115+AJ116-P116,2))</f>
        <v>0.0</v>
      </c>
      <c r="AA116" s="31">
        <f>IF(AA115+AK116-Q116&lt;=0.01,0,ROUND(AA115+AK116-Q116,2))</f>
        <v>0.0</v>
      </c>
      <c r="AB116" s="31">
        <f>ROUND(R115*AB$5/1200,2)</f>
        <v>0.0</v>
      </c>
      <c r="AC116" s="31">
        <f>ROUND(S115*AC$5/1200,2)</f>
        <v>0.0</v>
      </c>
      <c r="AD116" s="31">
        <f>ROUND(T115*AD$5/1200,2)</f>
        <v>0.0</v>
      </c>
      <c r="AE116" s="31">
        <f>ROUND(U115*AE$5/1200,2)</f>
        <v>0.0</v>
      </c>
      <c r="AF116" s="31">
        <f>ROUND(V115*AF$5/1200,2)</f>
        <v>0.0</v>
      </c>
      <c r="AG116" s="31">
        <f>ROUND(W115*AG$5/1200,2)</f>
        <v>0.0</v>
      </c>
      <c r="AH116" s="31">
        <f>ROUND(X115*AH$5/1200,2)</f>
        <v>0.0</v>
      </c>
      <c r="AI116" s="31">
        <f>ROUND(Y115*AI$5/1200,2)</f>
        <v>0.0</v>
      </c>
      <c r="AJ116" s="31">
        <f>ROUND(Z115*AJ$5/1200,2)</f>
        <v>0.0</v>
      </c>
      <c r="AK116" s="31">
        <f>ROUND(AA115*AK$5/1200,2)</f>
        <v>0.0</v>
      </c>
      <c r="AL116" s="31">
        <f>MIN(AL$5,R115+AB116)</f>
        <v>0.0</v>
      </c>
      <c r="AM116" s="31">
        <f>MIN(AM$5,S115+AC116)</f>
        <v>0.0</v>
      </c>
      <c r="AN116" s="31">
        <f>MIN(AN$5,T115+AD116)</f>
        <v>0.0</v>
      </c>
      <c r="AO116" s="31">
        <f>MIN(AO$5,U115+AE116)</f>
        <v>0.0</v>
      </c>
      <c r="AP116" s="31">
        <f>MIN(AP$5,V115+AF116)</f>
        <v>0.0</v>
      </c>
      <c r="AQ116" s="31">
        <f>MIN(AQ$5,W115+AG116)</f>
        <v>0.0</v>
      </c>
      <c r="AR116" s="31">
        <f>MIN(AR$5,X115+AH116)</f>
        <v>0.0</v>
      </c>
      <c r="AS116" s="31">
        <f>MIN(AS$5,Y115+AI116)</f>
        <v>0.0</v>
      </c>
      <c r="AT116" s="31">
        <f>MIN(AT$5,Z115+AJ116)</f>
        <v>0.0</v>
      </c>
      <c r="AU116" s="31">
        <f>MIN(AU$5,AA115+AK116)</f>
        <v>0.0</v>
      </c>
    </row>
    <row r="117">
      <c r="A117" s="25" t="str">
        <f>IF(F116&gt;0.005,112,"")</f>
        <v/>
      </c>
      <c r="B117" s="33" t="str">
        <f>IF(A117="","",EDATE(Долги!$D$5,111))</f>
        <v/>
      </c>
      <c r="C117" s="31">
        <f>SUM(H117:Q117)</f>
        <v>0.0</v>
      </c>
      <c r="D117" s="31">
        <f>SUM(AB117:AK117)</f>
        <v>0.0</v>
      </c>
      <c r="E117" s="31">
        <f>C117-D117</f>
        <v>0.0</v>
      </c>
      <c r="F117" s="31">
        <f>SUM(R117:AA117)</f>
        <v>0.0</v>
      </c>
      <c r="G117" s="34" t="str">
        <f>IF(OR(A117="",$F$5&lt;=0),"",REPT("█",ROUND(20*F117/$F$5,0)))</f>
        <v/>
      </c>
      <c r="H117" s="31">
        <f>AL117+MIN(R116+AB117-AL117,MAX(0,ROUND(Долги!$D$19-SUM($AL117:$AU117),2)))</f>
        <v>0.0</v>
      </c>
      <c r="I117" s="31">
        <f>AM117+MIN(S116+AC117-AM117,MAX(0,ROUND(ROUND(Долги!$D$19-SUM($AL117:$AU117),2)-(SUM($H117:H117)-SUM($AL117:AL117)),2)))</f>
        <v>0.0</v>
      </c>
      <c r="J117" s="31">
        <f>AN117+MIN(T116+AD117-AN117,MAX(0,ROUND(ROUND(Долги!$D$19-SUM($AL117:$AU117),2)-(SUM($H117:I117)-SUM($AL117:AM117)),2)))</f>
        <v>0.0</v>
      </c>
      <c r="K117" s="31">
        <f>AO117+MIN(U116+AE117-AO117,MAX(0,ROUND(ROUND(Долги!$D$19-SUM($AL117:$AU117),2)-(SUM($H117:J117)-SUM($AL117:AN117)),2)))</f>
        <v>0.0</v>
      </c>
      <c r="L117" s="31">
        <f>AP117+MIN(V116+AF117-AP117,MAX(0,ROUND(ROUND(Долги!$D$19-SUM($AL117:$AU117),2)-(SUM($H117:K117)-SUM($AL117:AO117)),2)))</f>
        <v>0.0</v>
      </c>
      <c r="M117" s="31">
        <f>AQ117+MIN(W116+AG117-AQ117,MAX(0,ROUND(ROUND(Долги!$D$19-SUM($AL117:$AU117),2)-(SUM($H117:L117)-SUM($AL117:AP117)),2)))</f>
        <v>0.0</v>
      </c>
      <c r="N117" s="31">
        <f>AR117+MIN(X116+AH117-AR117,MAX(0,ROUND(ROUND(Долги!$D$19-SUM($AL117:$AU117),2)-(SUM($H117:M117)-SUM($AL117:AQ117)),2)))</f>
        <v>0.0</v>
      </c>
      <c r="O117" s="31">
        <f>AS117+MIN(Y116+AI117-AS117,MAX(0,ROUND(ROUND(Долги!$D$19-SUM($AL117:$AU117),2)-(SUM($H117:N117)-SUM($AL117:AR117)),2)))</f>
        <v>0.0</v>
      </c>
      <c r="P117" s="31">
        <f>AT117+MIN(Z116+AJ117-AT117,MAX(0,ROUND(ROUND(Долги!$D$19-SUM($AL117:$AU117),2)-(SUM($H117:O117)-SUM($AL117:AS117)),2)))</f>
        <v>0.0</v>
      </c>
      <c r="Q117" s="31">
        <f>AU117+MIN(AA116+AK117-AU117,MAX(0,ROUND(ROUND(Долги!$D$19-SUM($AL117:$AU117),2)-(SUM($H117:P117)-SUM($AL117:AT117)),2)))</f>
        <v>0.0</v>
      </c>
      <c r="R117" s="31">
        <f>IF(R116+AB117-H117&lt;=0.01,0,ROUND(R116+AB117-H117,2))</f>
        <v>0.0</v>
      </c>
      <c r="S117" s="31">
        <f>IF(S116+AC117-I117&lt;=0.01,0,ROUND(S116+AC117-I117,2))</f>
        <v>0.0</v>
      </c>
      <c r="T117" s="31">
        <f>IF(T116+AD117-J117&lt;=0.01,0,ROUND(T116+AD117-J117,2))</f>
        <v>0.0</v>
      </c>
      <c r="U117" s="31">
        <f>IF(U116+AE117-K117&lt;=0.01,0,ROUND(U116+AE117-K117,2))</f>
        <v>0.0</v>
      </c>
      <c r="V117" s="31">
        <f>IF(V116+AF117-L117&lt;=0.01,0,ROUND(V116+AF117-L117,2))</f>
        <v>0.0</v>
      </c>
      <c r="W117" s="31">
        <f>IF(W116+AG117-M117&lt;=0.01,0,ROUND(W116+AG117-M117,2))</f>
        <v>0.0</v>
      </c>
      <c r="X117" s="31">
        <f>IF(X116+AH117-N117&lt;=0.01,0,ROUND(X116+AH117-N117,2))</f>
        <v>0.0</v>
      </c>
      <c r="Y117" s="31">
        <f>IF(Y116+AI117-O117&lt;=0.01,0,ROUND(Y116+AI117-O117,2))</f>
        <v>0.0</v>
      </c>
      <c r="Z117" s="31">
        <f>IF(Z116+AJ117-P117&lt;=0.01,0,ROUND(Z116+AJ117-P117,2))</f>
        <v>0.0</v>
      </c>
      <c r="AA117" s="31">
        <f>IF(AA116+AK117-Q117&lt;=0.01,0,ROUND(AA116+AK117-Q117,2))</f>
        <v>0.0</v>
      </c>
      <c r="AB117" s="31">
        <f>ROUND(R116*AB$5/1200,2)</f>
        <v>0.0</v>
      </c>
      <c r="AC117" s="31">
        <f>ROUND(S116*AC$5/1200,2)</f>
        <v>0.0</v>
      </c>
      <c r="AD117" s="31">
        <f>ROUND(T116*AD$5/1200,2)</f>
        <v>0.0</v>
      </c>
      <c r="AE117" s="31">
        <f>ROUND(U116*AE$5/1200,2)</f>
        <v>0.0</v>
      </c>
      <c r="AF117" s="31">
        <f>ROUND(V116*AF$5/1200,2)</f>
        <v>0.0</v>
      </c>
      <c r="AG117" s="31">
        <f>ROUND(W116*AG$5/1200,2)</f>
        <v>0.0</v>
      </c>
      <c r="AH117" s="31">
        <f>ROUND(X116*AH$5/1200,2)</f>
        <v>0.0</v>
      </c>
      <c r="AI117" s="31">
        <f>ROUND(Y116*AI$5/1200,2)</f>
        <v>0.0</v>
      </c>
      <c r="AJ117" s="31">
        <f>ROUND(Z116*AJ$5/1200,2)</f>
        <v>0.0</v>
      </c>
      <c r="AK117" s="31">
        <f>ROUND(AA116*AK$5/1200,2)</f>
        <v>0.0</v>
      </c>
      <c r="AL117" s="31">
        <f>MIN(AL$5,R116+AB117)</f>
        <v>0.0</v>
      </c>
      <c r="AM117" s="31">
        <f>MIN(AM$5,S116+AC117)</f>
        <v>0.0</v>
      </c>
      <c r="AN117" s="31">
        <f>MIN(AN$5,T116+AD117)</f>
        <v>0.0</v>
      </c>
      <c r="AO117" s="31">
        <f>MIN(AO$5,U116+AE117)</f>
        <v>0.0</v>
      </c>
      <c r="AP117" s="31">
        <f>MIN(AP$5,V116+AF117)</f>
        <v>0.0</v>
      </c>
      <c r="AQ117" s="31">
        <f>MIN(AQ$5,W116+AG117)</f>
        <v>0.0</v>
      </c>
      <c r="AR117" s="31">
        <f>MIN(AR$5,X116+AH117)</f>
        <v>0.0</v>
      </c>
      <c r="AS117" s="31">
        <f>MIN(AS$5,Y116+AI117)</f>
        <v>0.0</v>
      </c>
      <c r="AT117" s="31">
        <f>MIN(AT$5,Z116+AJ117)</f>
        <v>0.0</v>
      </c>
      <c r="AU117" s="31">
        <f>MIN(AU$5,AA116+AK117)</f>
        <v>0.0</v>
      </c>
    </row>
    <row r="118">
      <c r="A118" s="25" t="str">
        <f>IF(F117&gt;0.005,113,"")</f>
        <v/>
      </c>
      <c r="B118" s="33" t="str">
        <f>IF(A118="","",EDATE(Долги!$D$5,112))</f>
        <v/>
      </c>
      <c r="C118" s="31">
        <f>SUM(H118:Q118)</f>
        <v>0.0</v>
      </c>
      <c r="D118" s="31">
        <f>SUM(AB118:AK118)</f>
        <v>0.0</v>
      </c>
      <c r="E118" s="31">
        <f>C118-D118</f>
        <v>0.0</v>
      </c>
      <c r="F118" s="31">
        <f>SUM(R118:AA118)</f>
        <v>0.0</v>
      </c>
      <c r="G118" s="34" t="str">
        <f>IF(OR(A118="",$F$5&lt;=0),"",REPT("█",ROUND(20*F118/$F$5,0)))</f>
        <v/>
      </c>
      <c r="H118" s="31">
        <f>AL118+MIN(R117+AB118-AL118,MAX(0,ROUND(Долги!$D$19-SUM($AL118:$AU118),2)))</f>
        <v>0.0</v>
      </c>
      <c r="I118" s="31">
        <f>AM118+MIN(S117+AC118-AM118,MAX(0,ROUND(ROUND(Долги!$D$19-SUM($AL118:$AU118),2)-(SUM($H118:H118)-SUM($AL118:AL118)),2)))</f>
        <v>0.0</v>
      </c>
      <c r="J118" s="31">
        <f>AN118+MIN(T117+AD118-AN118,MAX(0,ROUND(ROUND(Долги!$D$19-SUM($AL118:$AU118),2)-(SUM($H118:I118)-SUM($AL118:AM118)),2)))</f>
        <v>0.0</v>
      </c>
      <c r="K118" s="31">
        <f>AO118+MIN(U117+AE118-AO118,MAX(0,ROUND(ROUND(Долги!$D$19-SUM($AL118:$AU118),2)-(SUM($H118:J118)-SUM($AL118:AN118)),2)))</f>
        <v>0.0</v>
      </c>
      <c r="L118" s="31">
        <f>AP118+MIN(V117+AF118-AP118,MAX(0,ROUND(ROUND(Долги!$D$19-SUM($AL118:$AU118),2)-(SUM($H118:K118)-SUM($AL118:AO118)),2)))</f>
        <v>0.0</v>
      </c>
      <c r="M118" s="31">
        <f>AQ118+MIN(W117+AG118-AQ118,MAX(0,ROUND(ROUND(Долги!$D$19-SUM($AL118:$AU118),2)-(SUM($H118:L118)-SUM($AL118:AP118)),2)))</f>
        <v>0.0</v>
      </c>
      <c r="N118" s="31">
        <f>AR118+MIN(X117+AH118-AR118,MAX(0,ROUND(ROUND(Долги!$D$19-SUM($AL118:$AU118),2)-(SUM($H118:M118)-SUM($AL118:AQ118)),2)))</f>
        <v>0.0</v>
      </c>
      <c r="O118" s="31">
        <f>AS118+MIN(Y117+AI118-AS118,MAX(0,ROUND(ROUND(Долги!$D$19-SUM($AL118:$AU118),2)-(SUM($H118:N118)-SUM($AL118:AR118)),2)))</f>
        <v>0.0</v>
      </c>
      <c r="P118" s="31">
        <f>AT118+MIN(Z117+AJ118-AT118,MAX(0,ROUND(ROUND(Долги!$D$19-SUM($AL118:$AU118),2)-(SUM($H118:O118)-SUM($AL118:AS118)),2)))</f>
        <v>0.0</v>
      </c>
      <c r="Q118" s="31">
        <f>AU118+MIN(AA117+AK118-AU118,MAX(0,ROUND(ROUND(Долги!$D$19-SUM($AL118:$AU118),2)-(SUM($H118:P118)-SUM($AL118:AT118)),2)))</f>
        <v>0.0</v>
      </c>
      <c r="R118" s="31">
        <f>IF(R117+AB118-H118&lt;=0.01,0,ROUND(R117+AB118-H118,2))</f>
        <v>0.0</v>
      </c>
      <c r="S118" s="31">
        <f>IF(S117+AC118-I118&lt;=0.01,0,ROUND(S117+AC118-I118,2))</f>
        <v>0.0</v>
      </c>
      <c r="T118" s="31">
        <f>IF(T117+AD118-J118&lt;=0.01,0,ROUND(T117+AD118-J118,2))</f>
        <v>0.0</v>
      </c>
      <c r="U118" s="31">
        <f>IF(U117+AE118-K118&lt;=0.01,0,ROUND(U117+AE118-K118,2))</f>
        <v>0.0</v>
      </c>
      <c r="V118" s="31">
        <f>IF(V117+AF118-L118&lt;=0.01,0,ROUND(V117+AF118-L118,2))</f>
        <v>0.0</v>
      </c>
      <c r="W118" s="31">
        <f>IF(W117+AG118-M118&lt;=0.01,0,ROUND(W117+AG118-M118,2))</f>
        <v>0.0</v>
      </c>
      <c r="X118" s="31">
        <f>IF(X117+AH118-N118&lt;=0.01,0,ROUND(X117+AH118-N118,2))</f>
        <v>0.0</v>
      </c>
      <c r="Y118" s="31">
        <f>IF(Y117+AI118-O118&lt;=0.01,0,ROUND(Y117+AI118-O118,2))</f>
        <v>0.0</v>
      </c>
      <c r="Z118" s="31">
        <f>IF(Z117+AJ118-P118&lt;=0.01,0,ROUND(Z117+AJ118-P118,2))</f>
        <v>0.0</v>
      </c>
      <c r="AA118" s="31">
        <f>IF(AA117+AK118-Q118&lt;=0.01,0,ROUND(AA117+AK118-Q118,2))</f>
        <v>0.0</v>
      </c>
      <c r="AB118" s="31">
        <f>ROUND(R117*AB$5/1200,2)</f>
        <v>0.0</v>
      </c>
      <c r="AC118" s="31">
        <f>ROUND(S117*AC$5/1200,2)</f>
        <v>0.0</v>
      </c>
      <c r="AD118" s="31">
        <f>ROUND(T117*AD$5/1200,2)</f>
        <v>0.0</v>
      </c>
      <c r="AE118" s="31">
        <f>ROUND(U117*AE$5/1200,2)</f>
        <v>0.0</v>
      </c>
      <c r="AF118" s="31">
        <f>ROUND(V117*AF$5/1200,2)</f>
        <v>0.0</v>
      </c>
      <c r="AG118" s="31">
        <f>ROUND(W117*AG$5/1200,2)</f>
        <v>0.0</v>
      </c>
      <c r="AH118" s="31">
        <f>ROUND(X117*AH$5/1200,2)</f>
        <v>0.0</v>
      </c>
      <c r="AI118" s="31">
        <f>ROUND(Y117*AI$5/1200,2)</f>
        <v>0.0</v>
      </c>
      <c r="AJ118" s="31">
        <f>ROUND(Z117*AJ$5/1200,2)</f>
        <v>0.0</v>
      </c>
      <c r="AK118" s="31">
        <f>ROUND(AA117*AK$5/1200,2)</f>
        <v>0.0</v>
      </c>
      <c r="AL118" s="31">
        <f>MIN(AL$5,R117+AB118)</f>
        <v>0.0</v>
      </c>
      <c r="AM118" s="31">
        <f>MIN(AM$5,S117+AC118)</f>
        <v>0.0</v>
      </c>
      <c r="AN118" s="31">
        <f>MIN(AN$5,T117+AD118)</f>
        <v>0.0</v>
      </c>
      <c r="AO118" s="31">
        <f>MIN(AO$5,U117+AE118)</f>
        <v>0.0</v>
      </c>
      <c r="AP118" s="31">
        <f>MIN(AP$5,V117+AF118)</f>
        <v>0.0</v>
      </c>
      <c r="AQ118" s="31">
        <f>MIN(AQ$5,W117+AG118)</f>
        <v>0.0</v>
      </c>
      <c r="AR118" s="31">
        <f>MIN(AR$5,X117+AH118)</f>
        <v>0.0</v>
      </c>
      <c r="AS118" s="31">
        <f>MIN(AS$5,Y117+AI118)</f>
        <v>0.0</v>
      </c>
      <c r="AT118" s="31">
        <f>MIN(AT$5,Z117+AJ118)</f>
        <v>0.0</v>
      </c>
      <c r="AU118" s="31">
        <f>MIN(AU$5,AA117+AK118)</f>
        <v>0.0</v>
      </c>
    </row>
    <row r="119">
      <c r="A119" s="25" t="str">
        <f>IF(F118&gt;0.005,114,"")</f>
        <v/>
      </c>
      <c r="B119" s="33" t="str">
        <f>IF(A119="","",EDATE(Долги!$D$5,113))</f>
        <v/>
      </c>
      <c r="C119" s="31">
        <f>SUM(H119:Q119)</f>
        <v>0.0</v>
      </c>
      <c r="D119" s="31">
        <f>SUM(AB119:AK119)</f>
        <v>0.0</v>
      </c>
      <c r="E119" s="31">
        <f>C119-D119</f>
        <v>0.0</v>
      </c>
      <c r="F119" s="31">
        <f>SUM(R119:AA119)</f>
        <v>0.0</v>
      </c>
      <c r="G119" s="34" t="str">
        <f>IF(OR(A119="",$F$5&lt;=0),"",REPT("█",ROUND(20*F119/$F$5,0)))</f>
        <v/>
      </c>
      <c r="H119" s="31">
        <f>AL119+MIN(R118+AB119-AL119,MAX(0,ROUND(Долги!$D$19-SUM($AL119:$AU119),2)))</f>
        <v>0.0</v>
      </c>
      <c r="I119" s="31">
        <f>AM119+MIN(S118+AC119-AM119,MAX(0,ROUND(ROUND(Долги!$D$19-SUM($AL119:$AU119),2)-(SUM($H119:H119)-SUM($AL119:AL119)),2)))</f>
        <v>0.0</v>
      </c>
      <c r="J119" s="31">
        <f>AN119+MIN(T118+AD119-AN119,MAX(0,ROUND(ROUND(Долги!$D$19-SUM($AL119:$AU119),2)-(SUM($H119:I119)-SUM($AL119:AM119)),2)))</f>
        <v>0.0</v>
      </c>
      <c r="K119" s="31">
        <f>AO119+MIN(U118+AE119-AO119,MAX(0,ROUND(ROUND(Долги!$D$19-SUM($AL119:$AU119),2)-(SUM($H119:J119)-SUM($AL119:AN119)),2)))</f>
        <v>0.0</v>
      </c>
      <c r="L119" s="31">
        <f>AP119+MIN(V118+AF119-AP119,MAX(0,ROUND(ROUND(Долги!$D$19-SUM($AL119:$AU119),2)-(SUM($H119:K119)-SUM($AL119:AO119)),2)))</f>
        <v>0.0</v>
      </c>
      <c r="M119" s="31">
        <f>AQ119+MIN(W118+AG119-AQ119,MAX(0,ROUND(ROUND(Долги!$D$19-SUM($AL119:$AU119),2)-(SUM($H119:L119)-SUM($AL119:AP119)),2)))</f>
        <v>0.0</v>
      </c>
      <c r="N119" s="31">
        <f>AR119+MIN(X118+AH119-AR119,MAX(0,ROUND(ROUND(Долги!$D$19-SUM($AL119:$AU119),2)-(SUM($H119:M119)-SUM($AL119:AQ119)),2)))</f>
        <v>0.0</v>
      </c>
      <c r="O119" s="31">
        <f>AS119+MIN(Y118+AI119-AS119,MAX(0,ROUND(ROUND(Долги!$D$19-SUM($AL119:$AU119),2)-(SUM($H119:N119)-SUM($AL119:AR119)),2)))</f>
        <v>0.0</v>
      </c>
      <c r="P119" s="31">
        <f>AT119+MIN(Z118+AJ119-AT119,MAX(0,ROUND(ROUND(Долги!$D$19-SUM($AL119:$AU119),2)-(SUM($H119:O119)-SUM($AL119:AS119)),2)))</f>
        <v>0.0</v>
      </c>
      <c r="Q119" s="31">
        <f>AU119+MIN(AA118+AK119-AU119,MAX(0,ROUND(ROUND(Долги!$D$19-SUM($AL119:$AU119),2)-(SUM($H119:P119)-SUM($AL119:AT119)),2)))</f>
        <v>0.0</v>
      </c>
      <c r="R119" s="31">
        <f>IF(R118+AB119-H119&lt;=0.01,0,ROUND(R118+AB119-H119,2))</f>
        <v>0.0</v>
      </c>
      <c r="S119" s="31">
        <f>IF(S118+AC119-I119&lt;=0.01,0,ROUND(S118+AC119-I119,2))</f>
        <v>0.0</v>
      </c>
      <c r="T119" s="31">
        <f>IF(T118+AD119-J119&lt;=0.01,0,ROUND(T118+AD119-J119,2))</f>
        <v>0.0</v>
      </c>
      <c r="U119" s="31">
        <f>IF(U118+AE119-K119&lt;=0.01,0,ROUND(U118+AE119-K119,2))</f>
        <v>0.0</v>
      </c>
      <c r="V119" s="31">
        <f>IF(V118+AF119-L119&lt;=0.01,0,ROUND(V118+AF119-L119,2))</f>
        <v>0.0</v>
      </c>
      <c r="W119" s="31">
        <f>IF(W118+AG119-M119&lt;=0.01,0,ROUND(W118+AG119-M119,2))</f>
        <v>0.0</v>
      </c>
      <c r="X119" s="31">
        <f>IF(X118+AH119-N119&lt;=0.01,0,ROUND(X118+AH119-N119,2))</f>
        <v>0.0</v>
      </c>
      <c r="Y119" s="31">
        <f>IF(Y118+AI119-O119&lt;=0.01,0,ROUND(Y118+AI119-O119,2))</f>
        <v>0.0</v>
      </c>
      <c r="Z119" s="31">
        <f>IF(Z118+AJ119-P119&lt;=0.01,0,ROUND(Z118+AJ119-P119,2))</f>
        <v>0.0</v>
      </c>
      <c r="AA119" s="31">
        <f>IF(AA118+AK119-Q119&lt;=0.01,0,ROUND(AA118+AK119-Q119,2))</f>
        <v>0.0</v>
      </c>
      <c r="AB119" s="31">
        <f>ROUND(R118*AB$5/1200,2)</f>
        <v>0.0</v>
      </c>
      <c r="AC119" s="31">
        <f>ROUND(S118*AC$5/1200,2)</f>
        <v>0.0</v>
      </c>
      <c r="AD119" s="31">
        <f>ROUND(T118*AD$5/1200,2)</f>
        <v>0.0</v>
      </c>
      <c r="AE119" s="31">
        <f>ROUND(U118*AE$5/1200,2)</f>
        <v>0.0</v>
      </c>
      <c r="AF119" s="31">
        <f>ROUND(V118*AF$5/1200,2)</f>
        <v>0.0</v>
      </c>
      <c r="AG119" s="31">
        <f>ROUND(W118*AG$5/1200,2)</f>
        <v>0.0</v>
      </c>
      <c r="AH119" s="31">
        <f>ROUND(X118*AH$5/1200,2)</f>
        <v>0.0</v>
      </c>
      <c r="AI119" s="31">
        <f>ROUND(Y118*AI$5/1200,2)</f>
        <v>0.0</v>
      </c>
      <c r="AJ119" s="31">
        <f>ROUND(Z118*AJ$5/1200,2)</f>
        <v>0.0</v>
      </c>
      <c r="AK119" s="31">
        <f>ROUND(AA118*AK$5/1200,2)</f>
        <v>0.0</v>
      </c>
      <c r="AL119" s="31">
        <f>MIN(AL$5,R118+AB119)</f>
        <v>0.0</v>
      </c>
      <c r="AM119" s="31">
        <f>MIN(AM$5,S118+AC119)</f>
        <v>0.0</v>
      </c>
      <c r="AN119" s="31">
        <f>MIN(AN$5,T118+AD119)</f>
        <v>0.0</v>
      </c>
      <c r="AO119" s="31">
        <f>MIN(AO$5,U118+AE119)</f>
        <v>0.0</v>
      </c>
      <c r="AP119" s="31">
        <f>MIN(AP$5,V118+AF119)</f>
        <v>0.0</v>
      </c>
      <c r="AQ119" s="31">
        <f>MIN(AQ$5,W118+AG119)</f>
        <v>0.0</v>
      </c>
      <c r="AR119" s="31">
        <f>MIN(AR$5,X118+AH119)</f>
        <v>0.0</v>
      </c>
      <c r="AS119" s="31">
        <f>MIN(AS$5,Y118+AI119)</f>
        <v>0.0</v>
      </c>
      <c r="AT119" s="31">
        <f>MIN(AT$5,Z118+AJ119)</f>
        <v>0.0</v>
      </c>
      <c r="AU119" s="31">
        <f>MIN(AU$5,AA118+AK119)</f>
        <v>0.0</v>
      </c>
    </row>
    <row r="120">
      <c r="A120" s="25" t="str">
        <f>IF(F119&gt;0.005,115,"")</f>
        <v/>
      </c>
      <c r="B120" s="33" t="str">
        <f>IF(A120="","",EDATE(Долги!$D$5,114))</f>
        <v/>
      </c>
      <c r="C120" s="31">
        <f>SUM(H120:Q120)</f>
        <v>0.0</v>
      </c>
      <c r="D120" s="31">
        <f>SUM(AB120:AK120)</f>
        <v>0.0</v>
      </c>
      <c r="E120" s="31">
        <f>C120-D120</f>
        <v>0.0</v>
      </c>
      <c r="F120" s="31">
        <f>SUM(R120:AA120)</f>
        <v>0.0</v>
      </c>
      <c r="G120" s="34" t="str">
        <f>IF(OR(A120="",$F$5&lt;=0),"",REPT("█",ROUND(20*F120/$F$5,0)))</f>
        <v/>
      </c>
      <c r="H120" s="31">
        <f>AL120+MIN(R119+AB120-AL120,MAX(0,ROUND(Долги!$D$19-SUM($AL120:$AU120),2)))</f>
        <v>0.0</v>
      </c>
      <c r="I120" s="31">
        <f>AM120+MIN(S119+AC120-AM120,MAX(0,ROUND(ROUND(Долги!$D$19-SUM($AL120:$AU120),2)-(SUM($H120:H120)-SUM($AL120:AL120)),2)))</f>
        <v>0.0</v>
      </c>
      <c r="J120" s="31">
        <f>AN120+MIN(T119+AD120-AN120,MAX(0,ROUND(ROUND(Долги!$D$19-SUM($AL120:$AU120),2)-(SUM($H120:I120)-SUM($AL120:AM120)),2)))</f>
        <v>0.0</v>
      </c>
      <c r="K120" s="31">
        <f>AO120+MIN(U119+AE120-AO120,MAX(0,ROUND(ROUND(Долги!$D$19-SUM($AL120:$AU120),2)-(SUM($H120:J120)-SUM($AL120:AN120)),2)))</f>
        <v>0.0</v>
      </c>
      <c r="L120" s="31">
        <f>AP120+MIN(V119+AF120-AP120,MAX(0,ROUND(ROUND(Долги!$D$19-SUM($AL120:$AU120),2)-(SUM($H120:K120)-SUM($AL120:AO120)),2)))</f>
        <v>0.0</v>
      </c>
      <c r="M120" s="31">
        <f>AQ120+MIN(W119+AG120-AQ120,MAX(0,ROUND(ROUND(Долги!$D$19-SUM($AL120:$AU120),2)-(SUM($H120:L120)-SUM($AL120:AP120)),2)))</f>
        <v>0.0</v>
      </c>
      <c r="N120" s="31">
        <f>AR120+MIN(X119+AH120-AR120,MAX(0,ROUND(ROUND(Долги!$D$19-SUM($AL120:$AU120),2)-(SUM($H120:M120)-SUM($AL120:AQ120)),2)))</f>
        <v>0.0</v>
      </c>
      <c r="O120" s="31">
        <f>AS120+MIN(Y119+AI120-AS120,MAX(0,ROUND(ROUND(Долги!$D$19-SUM($AL120:$AU120),2)-(SUM($H120:N120)-SUM($AL120:AR120)),2)))</f>
        <v>0.0</v>
      </c>
      <c r="P120" s="31">
        <f>AT120+MIN(Z119+AJ120-AT120,MAX(0,ROUND(ROUND(Долги!$D$19-SUM($AL120:$AU120),2)-(SUM($H120:O120)-SUM($AL120:AS120)),2)))</f>
        <v>0.0</v>
      </c>
      <c r="Q120" s="31">
        <f>AU120+MIN(AA119+AK120-AU120,MAX(0,ROUND(ROUND(Долги!$D$19-SUM($AL120:$AU120),2)-(SUM($H120:P120)-SUM($AL120:AT120)),2)))</f>
        <v>0.0</v>
      </c>
      <c r="R120" s="31">
        <f>IF(R119+AB120-H120&lt;=0.01,0,ROUND(R119+AB120-H120,2))</f>
        <v>0.0</v>
      </c>
      <c r="S120" s="31">
        <f>IF(S119+AC120-I120&lt;=0.01,0,ROUND(S119+AC120-I120,2))</f>
        <v>0.0</v>
      </c>
      <c r="T120" s="31">
        <f>IF(T119+AD120-J120&lt;=0.01,0,ROUND(T119+AD120-J120,2))</f>
        <v>0.0</v>
      </c>
      <c r="U120" s="31">
        <f>IF(U119+AE120-K120&lt;=0.01,0,ROUND(U119+AE120-K120,2))</f>
        <v>0.0</v>
      </c>
      <c r="V120" s="31">
        <f>IF(V119+AF120-L120&lt;=0.01,0,ROUND(V119+AF120-L120,2))</f>
        <v>0.0</v>
      </c>
      <c r="W120" s="31">
        <f>IF(W119+AG120-M120&lt;=0.01,0,ROUND(W119+AG120-M120,2))</f>
        <v>0.0</v>
      </c>
      <c r="X120" s="31">
        <f>IF(X119+AH120-N120&lt;=0.01,0,ROUND(X119+AH120-N120,2))</f>
        <v>0.0</v>
      </c>
      <c r="Y120" s="31">
        <f>IF(Y119+AI120-O120&lt;=0.01,0,ROUND(Y119+AI120-O120,2))</f>
        <v>0.0</v>
      </c>
      <c r="Z120" s="31">
        <f>IF(Z119+AJ120-P120&lt;=0.01,0,ROUND(Z119+AJ120-P120,2))</f>
        <v>0.0</v>
      </c>
      <c r="AA120" s="31">
        <f>IF(AA119+AK120-Q120&lt;=0.01,0,ROUND(AA119+AK120-Q120,2))</f>
        <v>0.0</v>
      </c>
      <c r="AB120" s="31">
        <f>ROUND(R119*AB$5/1200,2)</f>
        <v>0.0</v>
      </c>
      <c r="AC120" s="31">
        <f>ROUND(S119*AC$5/1200,2)</f>
        <v>0.0</v>
      </c>
      <c r="AD120" s="31">
        <f>ROUND(T119*AD$5/1200,2)</f>
        <v>0.0</v>
      </c>
      <c r="AE120" s="31">
        <f>ROUND(U119*AE$5/1200,2)</f>
        <v>0.0</v>
      </c>
      <c r="AF120" s="31">
        <f>ROUND(V119*AF$5/1200,2)</f>
        <v>0.0</v>
      </c>
      <c r="AG120" s="31">
        <f>ROUND(W119*AG$5/1200,2)</f>
        <v>0.0</v>
      </c>
      <c r="AH120" s="31">
        <f>ROUND(X119*AH$5/1200,2)</f>
        <v>0.0</v>
      </c>
      <c r="AI120" s="31">
        <f>ROUND(Y119*AI$5/1200,2)</f>
        <v>0.0</v>
      </c>
      <c r="AJ120" s="31">
        <f>ROUND(Z119*AJ$5/1200,2)</f>
        <v>0.0</v>
      </c>
      <c r="AK120" s="31">
        <f>ROUND(AA119*AK$5/1200,2)</f>
        <v>0.0</v>
      </c>
      <c r="AL120" s="31">
        <f>MIN(AL$5,R119+AB120)</f>
        <v>0.0</v>
      </c>
      <c r="AM120" s="31">
        <f>MIN(AM$5,S119+AC120)</f>
        <v>0.0</v>
      </c>
      <c r="AN120" s="31">
        <f>MIN(AN$5,T119+AD120)</f>
        <v>0.0</v>
      </c>
      <c r="AO120" s="31">
        <f>MIN(AO$5,U119+AE120)</f>
        <v>0.0</v>
      </c>
      <c r="AP120" s="31">
        <f>MIN(AP$5,V119+AF120)</f>
        <v>0.0</v>
      </c>
      <c r="AQ120" s="31">
        <f>MIN(AQ$5,W119+AG120)</f>
        <v>0.0</v>
      </c>
      <c r="AR120" s="31">
        <f>MIN(AR$5,X119+AH120)</f>
        <v>0.0</v>
      </c>
      <c r="AS120" s="31">
        <f>MIN(AS$5,Y119+AI120)</f>
        <v>0.0</v>
      </c>
      <c r="AT120" s="31">
        <f>MIN(AT$5,Z119+AJ120)</f>
        <v>0.0</v>
      </c>
      <c r="AU120" s="31">
        <f>MIN(AU$5,AA119+AK120)</f>
        <v>0.0</v>
      </c>
    </row>
    <row r="121">
      <c r="A121" s="25" t="str">
        <f>IF(F120&gt;0.005,116,"")</f>
        <v/>
      </c>
      <c r="B121" s="33" t="str">
        <f>IF(A121="","",EDATE(Долги!$D$5,115))</f>
        <v/>
      </c>
      <c r="C121" s="31">
        <f>SUM(H121:Q121)</f>
        <v>0.0</v>
      </c>
      <c r="D121" s="31">
        <f>SUM(AB121:AK121)</f>
        <v>0.0</v>
      </c>
      <c r="E121" s="31">
        <f>C121-D121</f>
        <v>0.0</v>
      </c>
      <c r="F121" s="31">
        <f>SUM(R121:AA121)</f>
        <v>0.0</v>
      </c>
      <c r="G121" s="34" t="str">
        <f>IF(OR(A121="",$F$5&lt;=0),"",REPT("█",ROUND(20*F121/$F$5,0)))</f>
        <v/>
      </c>
      <c r="H121" s="31">
        <f>AL121+MIN(R120+AB121-AL121,MAX(0,ROUND(Долги!$D$19-SUM($AL121:$AU121),2)))</f>
        <v>0.0</v>
      </c>
      <c r="I121" s="31">
        <f>AM121+MIN(S120+AC121-AM121,MAX(0,ROUND(ROUND(Долги!$D$19-SUM($AL121:$AU121),2)-(SUM($H121:H121)-SUM($AL121:AL121)),2)))</f>
        <v>0.0</v>
      </c>
      <c r="J121" s="31">
        <f>AN121+MIN(T120+AD121-AN121,MAX(0,ROUND(ROUND(Долги!$D$19-SUM($AL121:$AU121),2)-(SUM($H121:I121)-SUM($AL121:AM121)),2)))</f>
        <v>0.0</v>
      </c>
      <c r="K121" s="31">
        <f>AO121+MIN(U120+AE121-AO121,MAX(0,ROUND(ROUND(Долги!$D$19-SUM($AL121:$AU121),2)-(SUM($H121:J121)-SUM($AL121:AN121)),2)))</f>
        <v>0.0</v>
      </c>
      <c r="L121" s="31">
        <f>AP121+MIN(V120+AF121-AP121,MAX(0,ROUND(ROUND(Долги!$D$19-SUM($AL121:$AU121),2)-(SUM($H121:K121)-SUM($AL121:AO121)),2)))</f>
        <v>0.0</v>
      </c>
      <c r="M121" s="31">
        <f>AQ121+MIN(W120+AG121-AQ121,MAX(0,ROUND(ROUND(Долги!$D$19-SUM($AL121:$AU121),2)-(SUM($H121:L121)-SUM($AL121:AP121)),2)))</f>
        <v>0.0</v>
      </c>
      <c r="N121" s="31">
        <f>AR121+MIN(X120+AH121-AR121,MAX(0,ROUND(ROUND(Долги!$D$19-SUM($AL121:$AU121),2)-(SUM($H121:M121)-SUM($AL121:AQ121)),2)))</f>
        <v>0.0</v>
      </c>
      <c r="O121" s="31">
        <f>AS121+MIN(Y120+AI121-AS121,MAX(0,ROUND(ROUND(Долги!$D$19-SUM($AL121:$AU121),2)-(SUM($H121:N121)-SUM($AL121:AR121)),2)))</f>
        <v>0.0</v>
      </c>
      <c r="P121" s="31">
        <f>AT121+MIN(Z120+AJ121-AT121,MAX(0,ROUND(ROUND(Долги!$D$19-SUM($AL121:$AU121),2)-(SUM($H121:O121)-SUM($AL121:AS121)),2)))</f>
        <v>0.0</v>
      </c>
      <c r="Q121" s="31">
        <f>AU121+MIN(AA120+AK121-AU121,MAX(0,ROUND(ROUND(Долги!$D$19-SUM($AL121:$AU121),2)-(SUM($H121:P121)-SUM($AL121:AT121)),2)))</f>
        <v>0.0</v>
      </c>
      <c r="R121" s="31">
        <f>IF(R120+AB121-H121&lt;=0.01,0,ROUND(R120+AB121-H121,2))</f>
        <v>0.0</v>
      </c>
      <c r="S121" s="31">
        <f>IF(S120+AC121-I121&lt;=0.01,0,ROUND(S120+AC121-I121,2))</f>
        <v>0.0</v>
      </c>
      <c r="T121" s="31">
        <f>IF(T120+AD121-J121&lt;=0.01,0,ROUND(T120+AD121-J121,2))</f>
        <v>0.0</v>
      </c>
      <c r="U121" s="31">
        <f>IF(U120+AE121-K121&lt;=0.01,0,ROUND(U120+AE121-K121,2))</f>
        <v>0.0</v>
      </c>
      <c r="V121" s="31">
        <f>IF(V120+AF121-L121&lt;=0.01,0,ROUND(V120+AF121-L121,2))</f>
        <v>0.0</v>
      </c>
      <c r="W121" s="31">
        <f>IF(W120+AG121-M121&lt;=0.01,0,ROUND(W120+AG121-M121,2))</f>
        <v>0.0</v>
      </c>
      <c r="X121" s="31">
        <f>IF(X120+AH121-N121&lt;=0.01,0,ROUND(X120+AH121-N121,2))</f>
        <v>0.0</v>
      </c>
      <c r="Y121" s="31">
        <f>IF(Y120+AI121-O121&lt;=0.01,0,ROUND(Y120+AI121-O121,2))</f>
        <v>0.0</v>
      </c>
      <c r="Z121" s="31">
        <f>IF(Z120+AJ121-P121&lt;=0.01,0,ROUND(Z120+AJ121-P121,2))</f>
        <v>0.0</v>
      </c>
      <c r="AA121" s="31">
        <f>IF(AA120+AK121-Q121&lt;=0.01,0,ROUND(AA120+AK121-Q121,2))</f>
        <v>0.0</v>
      </c>
      <c r="AB121" s="31">
        <f>ROUND(R120*AB$5/1200,2)</f>
        <v>0.0</v>
      </c>
      <c r="AC121" s="31">
        <f>ROUND(S120*AC$5/1200,2)</f>
        <v>0.0</v>
      </c>
      <c r="AD121" s="31">
        <f>ROUND(T120*AD$5/1200,2)</f>
        <v>0.0</v>
      </c>
      <c r="AE121" s="31">
        <f>ROUND(U120*AE$5/1200,2)</f>
        <v>0.0</v>
      </c>
      <c r="AF121" s="31">
        <f>ROUND(V120*AF$5/1200,2)</f>
        <v>0.0</v>
      </c>
      <c r="AG121" s="31">
        <f>ROUND(W120*AG$5/1200,2)</f>
        <v>0.0</v>
      </c>
      <c r="AH121" s="31">
        <f>ROUND(X120*AH$5/1200,2)</f>
        <v>0.0</v>
      </c>
      <c r="AI121" s="31">
        <f>ROUND(Y120*AI$5/1200,2)</f>
        <v>0.0</v>
      </c>
      <c r="AJ121" s="31">
        <f>ROUND(Z120*AJ$5/1200,2)</f>
        <v>0.0</v>
      </c>
      <c r="AK121" s="31">
        <f>ROUND(AA120*AK$5/1200,2)</f>
        <v>0.0</v>
      </c>
      <c r="AL121" s="31">
        <f>MIN(AL$5,R120+AB121)</f>
        <v>0.0</v>
      </c>
      <c r="AM121" s="31">
        <f>MIN(AM$5,S120+AC121)</f>
        <v>0.0</v>
      </c>
      <c r="AN121" s="31">
        <f>MIN(AN$5,T120+AD121)</f>
        <v>0.0</v>
      </c>
      <c r="AO121" s="31">
        <f>MIN(AO$5,U120+AE121)</f>
        <v>0.0</v>
      </c>
      <c r="AP121" s="31">
        <f>MIN(AP$5,V120+AF121)</f>
        <v>0.0</v>
      </c>
      <c r="AQ121" s="31">
        <f>MIN(AQ$5,W120+AG121)</f>
        <v>0.0</v>
      </c>
      <c r="AR121" s="31">
        <f>MIN(AR$5,X120+AH121)</f>
        <v>0.0</v>
      </c>
      <c r="AS121" s="31">
        <f>MIN(AS$5,Y120+AI121)</f>
        <v>0.0</v>
      </c>
      <c r="AT121" s="31">
        <f>MIN(AT$5,Z120+AJ121)</f>
        <v>0.0</v>
      </c>
      <c r="AU121" s="31">
        <f>MIN(AU$5,AA120+AK121)</f>
        <v>0.0</v>
      </c>
    </row>
    <row r="122">
      <c r="A122" s="25" t="str">
        <f>IF(F121&gt;0.005,117,"")</f>
        <v/>
      </c>
      <c r="B122" s="33" t="str">
        <f>IF(A122="","",EDATE(Долги!$D$5,116))</f>
        <v/>
      </c>
      <c r="C122" s="31">
        <f>SUM(H122:Q122)</f>
        <v>0.0</v>
      </c>
      <c r="D122" s="31">
        <f>SUM(AB122:AK122)</f>
        <v>0.0</v>
      </c>
      <c r="E122" s="31">
        <f>C122-D122</f>
        <v>0.0</v>
      </c>
      <c r="F122" s="31">
        <f>SUM(R122:AA122)</f>
        <v>0.0</v>
      </c>
      <c r="G122" s="34" t="str">
        <f>IF(OR(A122="",$F$5&lt;=0),"",REPT("█",ROUND(20*F122/$F$5,0)))</f>
        <v/>
      </c>
      <c r="H122" s="31">
        <f>AL122+MIN(R121+AB122-AL122,MAX(0,ROUND(Долги!$D$19-SUM($AL122:$AU122),2)))</f>
        <v>0.0</v>
      </c>
      <c r="I122" s="31">
        <f>AM122+MIN(S121+AC122-AM122,MAX(0,ROUND(ROUND(Долги!$D$19-SUM($AL122:$AU122),2)-(SUM($H122:H122)-SUM($AL122:AL122)),2)))</f>
        <v>0.0</v>
      </c>
      <c r="J122" s="31">
        <f>AN122+MIN(T121+AD122-AN122,MAX(0,ROUND(ROUND(Долги!$D$19-SUM($AL122:$AU122),2)-(SUM($H122:I122)-SUM($AL122:AM122)),2)))</f>
        <v>0.0</v>
      </c>
      <c r="K122" s="31">
        <f>AO122+MIN(U121+AE122-AO122,MAX(0,ROUND(ROUND(Долги!$D$19-SUM($AL122:$AU122),2)-(SUM($H122:J122)-SUM($AL122:AN122)),2)))</f>
        <v>0.0</v>
      </c>
      <c r="L122" s="31">
        <f>AP122+MIN(V121+AF122-AP122,MAX(0,ROUND(ROUND(Долги!$D$19-SUM($AL122:$AU122),2)-(SUM($H122:K122)-SUM($AL122:AO122)),2)))</f>
        <v>0.0</v>
      </c>
      <c r="M122" s="31">
        <f>AQ122+MIN(W121+AG122-AQ122,MAX(0,ROUND(ROUND(Долги!$D$19-SUM($AL122:$AU122),2)-(SUM($H122:L122)-SUM($AL122:AP122)),2)))</f>
        <v>0.0</v>
      </c>
      <c r="N122" s="31">
        <f>AR122+MIN(X121+AH122-AR122,MAX(0,ROUND(ROUND(Долги!$D$19-SUM($AL122:$AU122),2)-(SUM($H122:M122)-SUM($AL122:AQ122)),2)))</f>
        <v>0.0</v>
      </c>
      <c r="O122" s="31">
        <f>AS122+MIN(Y121+AI122-AS122,MAX(0,ROUND(ROUND(Долги!$D$19-SUM($AL122:$AU122),2)-(SUM($H122:N122)-SUM($AL122:AR122)),2)))</f>
        <v>0.0</v>
      </c>
      <c r="P122" s="31">
        <f>AT122+MIN(Z121+AJ122-AT122,MAX(0,ROUND(ROUND(Долги!$D$19-SUM($AL122:$AU122),2)-(SUM($H122:O122)-SUM($AL122:AS122)),2)))</f>
        <v>0.0</v>
      </c>
      <c r="Q122" s="31">
        <f>AU122+MIN(AA121+AK122-AU122,MAX(0,ROUND(ROUND(Долги!$D$19-SUM($AL122:$AU122),2)-(SUM($H122:P122)-SUM($AL122:AT122)),2)))</f>
        <v>0.0</v>
      </c>
      <c r="R122" s="31">
        <f>IF(R121+AB122-H122&lt;=0.01,0,ROUND(R121+AB122-H122,2))</f>
        <v>0.0</v>
      </c>
      <c r="S122" s="31">
        <f>IF(S121+AC122-I122&lt;=0.01,0,ROUND(S121+AC122-I122,2))</f>
        <v>0.0</v>
      </c>
      <c r="T122" s="31">
        <f>IF(T121+AD122-J122&lt;=0.01,0,ROUND(T121+AD122-J122,2))</f>
        <v>0.0</v>
      </c>
      <c r="U122" s="31">
        <f>IF(U121+AE122-K122&lt;=0.01,0,ROUND(U121+AE122-K122,2))</f>
        <v>0.0</v>
      </c>
      <c r="V122" s="31">
        <f>IF(V121+AF122-L122&lt;=0.01,0,ROUND(V121+AF122-L122,2))</f>
        <v>0.0</v>
      </c>
      <c r="W122" s="31">
        <f>IF(W121+AG122-M122&lt;=0.01,0,ROUND(W121+AG122-M122,2))</f>
        <v>0.0</v>
      </c>
      <c r="X122" s="31">
        <f>IF(X121+AH122-N122&lt;=0.01,0,ROUND(X121+AH122-N122,2))</f>
        <v>0.0</v>
      </c>
      <c r="Y122" s="31">
        <f>IF(Y121+AI122-O122&lt;=0.01,0,ROUND(Y121+AI122-O122,2))</f>
        <v>0.0</v>
      </c>
      <c r="Z122" s="31">
        <f>IF(Z121+AJ122-P122&lt;=0.01,0,ROUND(Z121+AJ122-P122,2))</f>
        <v>0.0</v>
      </c>
      <c r="AA122" s="31">
        <f>IF(AA121+AK122-Q122&lt;=0.01,0,ROUND(AA121+AK122-Q122,2))</f>
        <v>0.0</v>
      </c>
      <c r="AB122" s="31">
        <f>ROUND(R121*AB$5/1200,2)</f>
        <v>0.0</v>
      </c>
      <c r="AC122" s="31">
        <f>ROUND(S121*AC$5/1200,2)</f>
        <v>0.0</v>
      </c>
      <c r="AD122" s="31">
        <f>ROUND(T121*AD$5/1200,2)</f>
        <v>0.0</v>
      </c>
      <c r="AE122" s="31">
        <f>ROUND(U121*AE$5/1200,2)</f>
        <v>0.0</v>
      </c>
      <c r="AF122" s="31">
        <f>ROUND(V121*AF$5/1200,2)</f>
        <v>0.0</v>
      </c>
      <c r="AG122" s="31">
        <f>ROUND(W121*AG$5/1200,2)</f>
        <v>0.0</v>
      </c>
      <c r="AH122" s="31">
        <f>ROUND(X121*AH$5/1200,2)</f>
        <v>0.0</v>
      </c>
      <c r="AI122" s="31">
        <f>ROUND(Y121*AI$5/1200,2)</f>
        <v>0.0</v>
      </c>
      <c r="AJ122" s="31">
        <f>ROUND(Z121*AJ$5/1200,2)</f>
        <v>0.0</v>
      </c>
      <c r="AK122" s="31">
        <f>ROUND(AA121*AK$5/1200,2)</f>
        <v>0.0</v>
      </c>
      <c r="AL122" s="31">
        <f>MIN(AL$5,R121+AB122)</f>
        <v>0.0</v>
      </c>
      <c r="AM122" s="31">
        <f>MIN(AM$5,S121+AC122)</f>
        <v>0.0</v>
      </c>
      <c r="AN122" s="31">
        <f>MIN(AN$5,T121+AD122)</f>
        <v>0.0</v>
      </c>
      <c r="AO122" s="31">
        <f>MIN(AO$5,U121+AE122)</f>
        <v>0.0</v>
      </c>
      <c r="AP122" s="31">
        <f>MIN(AP$5,V121+AF122)</f>
        <v>0.0</v>
      </c>
      <c r="AQ122" s="31">
        <f>MIN(AQ$5,W121+AG122)</f>
        <v>0.0</v>
      </c>
      <c r="AR122" s="31">
        <f>MIN(AR$5,X121+AH122)</f>
        <v>0.0</v>
      </c>
      <c r="AS122" s="31">
        <f>MIN(AS$5,Y121+AI122)</f>
        <v>0.0</v>
      </c>
      <c r="AT122" s="31">
        <f>MIN(AT$5,Z121+AJ122)</f>
        <v>0.0</v>
      </c>
      <c r="AU122" s="31">
        <f>MIN(AU$5,AA121+AK122)</f>
        <v>0.0</v>
      </c>
    </row>
    <row r="123">
      <c r="A123" s="25" t="str">
        <f>IF(F122&gt;0.005,118,"")</f>
        <v/>
      </c>
      <c r="B123" s="33" t="str">
        <f>IF(A123="","",EDATE(Долги!$D$5,117))</f>
        <v/>
      </c>
      <c r="C123" s="31">
        <f>SUM(H123:Q123)</f>
        <v>0.0</v>
      </c>
      <c r="D123" s="31">
        <f>SUM(AB123:AK123)</f>
        <v>0.0</v>
      </c>
      <c r="E123" s="31">
        <f>C123-D123</f>
        <v>0.0</v>
      </c>
      <c r="F123" s="31">
        <f>SUM(R123:AA123)</f>
        <v>0.0</v>
      </c>
      <c r="G123" s="34" t="str">
        <f>IF(OR(A123="",$F$5&lt;=0),"",REPT("█",ROUND(20*F123/$F$5,0)))</f>
        <v/>
      </c>
      <c r="H123" s="31">
        <f>AL123+MIN(R122+AB123-AL123,MAX(0,ROUND(Долги!$D$19-SUM($AL123:$AU123),2)))</f>
        <v>0.0</v>
      </c>
      <c r="I123" s="31">
        <f>AM123+MIN(S122+AC123-AM123,MAX(0,ROUND(ROUND(Долги!$D$19-SUM($AL123:$AU123),2)-(SUM($H123:H123)-SUM($AL123:AL123)),2)))</f>
        <v>0.0</v>
      </c>
      <c r="J123" s="31">
        <f>AN123+MIN(T122+AD123-AN123,MAX(0,ROUND(ROUND(Долги!$D$19-SUM($AL123:$AU123),2)-(SUM($H123:I123)-SUM($AL123:AM123)),2)))</f>
        <v>0.0</v>
      </c>
      <c r="K123" s="31">
        <f>AO123+MIN(U122+AE123-AO123,MAX(0,ROUND(ROUND(Долги!$D$19-SUM($AL123:$AU123),2)-(SUM($H123:J123)-SUM($AL123:AN123)),2)))</f>
        <v>0.0</v>
      </c>
      <c r="L123" s="31">
        <f>AP123+MIN(V122+AF123-AP123,MAX(0,ROUND(ROUND(Долги!$D$19-SUM($AL123:$AU123),2)-(SUM($H123:K123)-SUM($AL123:AO123)),2)))</f>
        <v>0.0</v>
      </c>
      <c r="M123" s="31">
        <f>AQ123+MIN(W122+AG123-AQ123,MAX(0,ROUND(ROUND(Долги!$D$19-SUM($AL123:$AU123),2)-(SUM($H123:L123)-SUM($AL123:AP123)),2)))</f>
        <v>0.0</v>
      </c>
      <c r="N123" s="31">
        <f>AR123+MIN(X122+AH123-AR123,MAX(0,ROUND(ROUND(Долги!$D$19-SUM($AL123:$AU123),2)-(SUM($H123:M123)-SUM($AL123:AQ123)),2)))</f>
        <v>0.0</v>
      </c>
      <c r="O123" s="31">
        <f>AS123+MIN(Y122+AI123-AS123,MAX(0,ROUND(ROUND(Долги!$D$19-SUM($AL123:$AU123),2)-(SUM($H123:N123)-SUM($AL123:AR123)),2)))</f>
        <v>0.0</v>
      </c>
      <c r="P123" s="31">
        <f>AT123+MIN(Z122+AJ123-AT123,MAX(0,ROUND(ROUND(Долги!$D$19-SUM($AL123:$AU123),2)-(SUM($H123:O123)-SUM($AL123:AS123)),2)))</f>
        <v>0.0</v>
      </c>
      <c r="Q123" s="31">
        <f>AU123+MIN(AA122+AK123-AU123,MAX(0,ROUND(ROUND(Долги!$D$19-SUM($AL123:$AU123),2)-(SUM($H123:P123)-SUM($AL123:AT123)),2)))</f>
        <v>0.0</v>
      </c>
      <c r="R123" s="31">
        <f>IF(R122+AB123-H123&lt;=0.01,0,ROUND(R122+AB123-H123,2))</f>
        <v>0.0</v>
      </c>
      <c r="S123" s="31">
        <f>IF(S122+AC123-I123&lt;=0.01,0,ROUND(S122+AC123-I123,2))</f>
        <v>0.0</v>
      </c>
      <c r="T123" s="31">
        <f>IF(T122+AD123-J123&lt;=0.01,0,ROUND(T122+AD123-J123,2))</f>
        <v>0.0</v>
      </c>
      <c r="U123" s="31">
        <f>IF(U122+AE123-K123&lt;=0.01,0,ROUND(U122+AE123-K123,2))</f>
        <v>0.0</v>
      </c>
      <c r="V123" s="31">
        <f>IF(V122+AF123-L123&lt;=0.01,0,ROUND(V122+AF123-L123,2))</f>
        <v>0.0</v>
      </c>
      <c r="W123" s="31">
        <f>IF(W122+AG123-M123&lt;=0.01,0,ROUND(W122+AG123-M123,2))</f>
        <v>0.0</v>
      </c>
      <c r="X123" s="31">
        <f>IF(X122+AH123-N123&lt;=0.01,0,ROUND(X122+AH123-N123,2))</f>
        <v>0.0</v>
      </c>
      <c r="Y123" s="31">
        <f>IF(Y122+AI123-O123&lt;=0.01,0,ROUND(Y122+AI123-O123,2))</f>
        <v>0.0</v>
      </c>
      <c r="Z123" s="31">
        <f>IF(Z122+AJ123-P123&lt;=0.01,0,ROUND(Z122+AJ123-P123,2))</f>
        <v>0.0</v>
      </c>
      <c r="AA123" s="31">
        <f>IF(AA122+AK123-Q123&lt;=0.01,0,ROUND(AA122+AK123-Q123,2))</f>
        <v>0.0</v>
      </c>
      <c r="AB123" s="31">
        <f>ROUND(R122*AB$5/1200,2)</f>
        <v>0.0</v>
      </c>
      <c r="AC123" s="31">
        <f>ROUND(S122*AC$5/1200,2)</f>
        <v>0.0</v>
      </c>
      <c r="AD123" s="31">
        <f>ROUND(T122*AD$5/1200,2)</f>
        <v>0.0</v>
      </c>
      <c r="AE123" s="31">
        <f>ROUND(U122*AE$5/1200,2)</f>
        <v>0.0</v>
      </c>
      <c r="AF123" s="31">
        <f>ROUND(V122*AF$5/1200,2)</f>
        <v>0.0</v>
      </c>
      <c r="AG123" s="31">
        <f>ROUND(W122*AG$5/1200,2)</f>
        <v>0.0</v>
      </c>
      <c r="AH123" s="31">
        <f>ROUND(X122*AH$5/1200,2)</f>
        <v>0.0</v>
      </c>
      <c r="AI123" s="31">
        <f>ROUND(Y122*AI$5/1200,2)</f>
        <v>0.0</v>
      </c>
      <c r="AJ123" s="31">
        <f>ROUND(Z122*AJ$5/1200,2)</f>
        <v>0.0</v>
      </c>
      <c r="AK123" s="31">
        <f>ROUND(AA122*AK$5/1200,2)</f>
        <v>0.0</v>
      </c>
      <c r="AL123" s="31">
        <f>MIN(AL$5,R122+AB123)</f>
        <v>0.0</v>
      </c>
      <c r="AM123" s="31">
        <f>MIN(AM$5,S122+AC123)</f>
        <v>0.0</v>
      </c>
      <c r="AN123" s="31">
        <f>MIN(AN$5,T122+AD123)</f>
        <v>0.0</v>
      </c>
      <c r="AO123" s="31">
        <f>MIN(AO$5,U122+AE123)</f>
        <v>0.0</v>
      </c>
      <c r="AP123" s="31">
        <f>MIN(AP$5,V122+AF123)</f>
        <v>0.0</v>
      </c>
      <c r="AQ123" s="31">
        <f>MIN(AQ$5,W122+AG123)</f>
        <v>0.0</v>
      </c>
      <c r="AR123" s="31">
        <f>MIN(AR$5,X122+AH123)</f>
        <v>0.0</v>
      </c>
      <c r="AS123" s="31">
        <f>MIN(AS$5,Y122+AI123)</f>
        <v>0.0</v>
      </c>
      <c r="AT123" s="31">
        <f>MIN(AT$5,Z122+AJ123)</f>
        <v>0.0</v>
      </c>
      <c r="AU123" s="31">
        <f>MIN(AU$5,AA122+AK123)</f>
        <v>0.0</v>
      </c>
    </row>
    <row r="124">
      <c r="A124" s="25" t="str">
        <f>IF(F123&gt;0.005,119,"")</f>
        <v/>
      </c>
      <c r="B124" s="33" t="str">
        <f>IF(A124="","",EDATE(Долги!$D$5,118))</f>
        <v/>
      </c>
      <c r="C124" s="31">
        <f>SUM(H124:Q124)</f>
        <v>0.0</v>
      </c>
      <c r="D124" s="31">
        <f>SUM(AB124:AK124)</f>
        <v>0.0</v>
      </c>
      <c r="E124" s="31">
        <f>C124-D124</f>
        <v>0.0</v>
      </c>
      <c r="F124" s="31">
        <f>SUM(R124:AA124)</f>
        <v>0.0</v>
      </c>
      <c r="G124" s="34" t="str">
        <f>IF(OR(A124="",$F$5&lt;=0),"",REPT("█",ROUND(20*F124/$F$5,0)))</f>
        <v/>
      </c>
      <c r="H124" s="31">
        <f>AL124+MIN(R123+AB124-AL124,MAX(0,ROUND(Долги!$D$19-SUM($AL124:$AU124),2)))</f>
        <v>0.0</v>
      </c>
      <c r="I124" s="31">
        <f>AM124+MIN(S123+AC124-AM124,MAX(0,ROUND(ROUND(Долги!$D$19-SUM($AL124:$AU124),2)-(SUM($H124:H124)-SUM($AL124:AL124)),2)))</f>
        <v>0.0</v>
      </c>
      <c r="J124" s="31">
        <f>AN124+MIN(T123+AD124-AN124,MAX(0,ROUND(ROUND(Долги!$D$19-SUM($AL124:$AU124),2)-(SUM($H124:I124)-SUM($AL124:AM124)),2)))</f>
        <v>0.0</v>
      </c>
      <c r="K124" s="31">
        <f>AO124+MIN(U123+AE124-AO124,MAX(0,ROUND(ROUND(Долги!$D$19-SUM($AL124:$AU124),2)-(SUM($H124:J124)-SUM($AL124:AN124)),2)))</f>
        <v>0.0</v>
      </c>
      <c r="L124" s="31">
        <f>AP124+MIN(V123+AF124-AP124,MAX(0,ROUND(ROUND(Долги!$D$19-SUM($AL124:$AU124),2)-(SUM($H124:K124)-SUM($AL124:AO124)),2)))</f>
        <v>0.0</v>
      </c>
      <c r="M124" s="31">
        <f>AQ124+MIN(W123+AG124-AQ124,MAX(0,ROUND(ROUND(Долги!$D$19-SUM($AL124:$AU124),2)-(SUM($H124:L124)-SUM($AL124:AP124)),2)))</f>
        <v>0.0</v>
      </c>
      <c r="N124" s="31">
        <f>AR124+MIN(X123+AH124-AR124,MAX(0,ROUND(ROUND(Долги!$D$19-SUM($AL124:$AU124),2)-(SUM($H124:M124)-SUM($AL124:AQ124)),2)))</f>
        <v>0.0</v>
      </c>
      <c r="O124" s="31">
        <f>AS124+MIN(Y123+AI124-AS124,MAX(0,ROUND(ROUND(Долги!$D$19-SUM($AL124:$AU124),2)-(SUM($H124:N124)-SUM($AL124:AR124)),2)))</f>
        <v>0.0</v>
      </c>
      <c r="P124" s="31">
        <f>AT124+MIN(Z123+AJ124-AT124,MAX(0,ROUND(ROUND(Долги!$D$19-SUM($AL124:$AU124),2)-(SUM($H124:O124)-SUM($AL124:AS124)),2)))</f>
        <v>0.0</v>
      </c>
      <c r="Q124" s="31">
        <f>AU124+MIN(AA123+AK124-AU124,MAX(0,ROUND(ROUND(Долги!$D$19-SUM($AL124:$AU124),2)-(SUM($H124:P124)-SUM($AL124:AT124)),2)))</f>
        <v>0.0</v>
      </c>
      <c r="R124" s="31">
        <f>IF(R123+AB124-H124&lt;=0.01,0,ROUND(R123+AB124-H124,2))</f>
        <v>0.0</v>
      </c>
      <c r="S124" s="31">
        <f>IF(S123+AC124-I124&lt;=0.01,0,ROUND(S123+AC124-I124,2))</f>
        <v>0.0</v>
      </c>
      <c r="T124" s="31">
        <f>IF(T123+AD124-J124&lt;=0.01,0,ROUND(T123+AD124-J124,2))</f>
        <v>0.0</v>
      </c>
      <c r="U124" s="31">
        <f>IF(U123+AE124-K124&lt;=0.01,0,ROUND(U123+AE124-K124,2))</f>
        <v>0.0</v>
      </c>
      <c r="V124" s="31">
        <f>IF(V123+AF124-L124&lt;=0.01,0,ROUND(V123+AF124-L124,2))</f>
        <v>0.0</v>
      </c>
      <c r="W124" s="31">
        <f>IF(W123+AG124-M124&lt;=0.01,0,ROUND(W123+AG124-M124,2))</f>
        <v>0.0</v>
      </c>
      <c r="X124" s="31">
        <f>IF(X123+AH124-N124&lt;=0.01,0,ROUND(X123+AH124-N124,2))</f>
        <v>0.0</v>
      </c>
      <c r="Y124" s="31">
        <f>IF(Y123+AI124-O124&lt;=0.01,0,ROUND(Y123+AI124-O124,2))</f>
        <v>0.0</v>
      </c>
      <c r="Z124" s="31">
        <f>IF(Z123+AJ124-P124&lt;=0.01,0,ROUND(Z123+AJ124-P124,2))</f>
        <v>0.0</v>
      </c>
      <c r="AA124" s="31">
        <f>IF(AA123+AK124-Q124&lt;=0.01,0,ROUND(AA123+AK124-Q124,2))</f>
        <v>0.0</v>
      </c>
      <c r="AB124" s="31">
        <f>ROUND(R123*AB$5/1200,2)</f>
        <v>0.0</v>
      </c>
      <c r="AC124" s="31">
        <f>ROUND(S123*AC$5/1200,2)</f>
        <v>0.0</v>
      </c>
      <c r="AD124" s="31">
        <f>ROUND(T123*AD$5/1200,2)</f>
        <v>0.0</v>
      </c>
      <c r="AE124" s="31">
        <f>ROUND(U123*AE$5/1200,2)</f>
        <v>0.0</v>
      </c>
      <c r="AF124" s="31">
        <f>ROUND(V123*AF$5/1200,2)</f>
        <v>0.0</v>
      </c>
      <c r="AG124" s="31">
        <f>ROUND(W123*AG$5/1200,2)</f>
        <v>0.0</v>
      </c>
      <c r="AH124" s="31">
        <f>ROUND(X123*AH$5/1200,2)</f>
        <v>0.0</v>
      </c>
      <c r="AI124" s="31">
        <f>ROUND(Y123*AI$5/1200,2)</f>
        <v>0.0</v>
      </c>
      <c r="AJ124" s="31">
        <f>ROUND(Z123*AJ$5/1200,2)</f>
        <v>0.0</v>
      </c>
      <c r="AK124" s="31">
        <f>ROUND(AA123*AK$5/1200,2)</f>
        <v>0.0</v>
      </c>
      <c r="AL124" s="31">
        <f>MIN(AL$5,R123+AB124)</f>
        <v>0.0</v>
      </c>
      <c r="AM124" s="31">
        <f>MIN(AM$5,S123+AC124)</f>
        <v>0.0</v>
      </c>
      <c r="AN124" s="31">
        <f>MIN(AN$5,T123+AD124)</f>
        <v>0.0</v>
      </c>
      <c r="AO124" s="31">
        <f>MIN(AO$5,U123+AE124)</f>
        <v>0.0</v>
      </c>
      <c r="AP124" s="31">
        <f>MIN(AP$5,V123+AF124)</f>
        <v>0.0</v>
      </c>
      <c r="AQ124" s="31">
        <f>MIN(AQ$5,W123+AG124)</f>
        <v>0.0</v>
      </c>
      <c r="AR124" s="31">
        <f>MIN(AR$5,X123+AH124)</f>
        <v>0.0</v>
      </c>
      <c r="AS124" s="31">
        <f>MIN(AS$5,Y123+AI124)</f>
        <v>0.0</v>
      </c>
      <c r="AT124" s="31">
        <f>MIN(AT$5,Z123+AJ124)</f>
        <v>0.0</v>
      </c>
      <c r="AU124" s="31">
        <f>MIN(AU$5,AA123+AK124)</f>
        <v>0.0</v>
      </c>
    </row>
    <row r="125">
      <c r="A125" s="25" t="str">
        <f>IF(F124&gt;0.005,120,"")</f>
        <v/>
      </c>
      <c r="B125" s="33" t="str">
        <f>IF(A125="","",EDATE(Долги!$D$5,119))</f>
        <v/>
      </c>
      <c r="C125" s="31">
        <f>SUM(H125:Q125)</f>
        <v>0.0</v>
      </c>
      <c r="D125" s="31">
        <f>SUM(AB125:AK125)</f>
        <v>0.0</v>
      </c>
      <c r="E125" s="31">
        <f>C125-D125</f>
        <v>0.0</v>
      </c>
      <c r="F125" s="31">
        <f>SUM(R125:AA125)</f>
        <v>0.0</v>
      </c>
      <c r="G125" s="34" t="str">
        <f>IF(OR(A125="",$F$5&lt;=0),"",REPT("█",ROUND(20*F125/$F$5,0)))</f>
        <v/>
      </c>
      <c r="H125" s="31">
        <f>AL125+MIN(R124+AB125-AL125,MAX(0,ROUND(Долги!$D$19-SUM($AL125:$AU125),2)))</f>
        <v>0.0</v>
      </c>
      <c r="I125" s="31">
        <f>AM125+MIN(S124+AC125-AM125,MAX(0,ROUND(ROUND(Долги!$D$19-SUM($AL125:$AU125),2)-(SUM($H125:H125)-SUM($AL125:AL125)),2)))</f>
        <v>0.0</v>
      </c>
      <c r="J125" s="31">
        <f>AN125+MIN(T124+AD125-AN125,MAX(0,ROUND(ROUND(Долги!$D$19-SUM($AL125:$AU125),2)-(SUM($H125:I125)-SUM($AL125:AM125)),2)))</f>
        <v>0.0</v>
      </c>
      <c r="K125" s="31">
        <f>AO125+MIN(U124+AE125-AO125,MAX(0,ROUND(ROUND(Долги!$D$19-SUM($AL125:$AU125),2)-(SUM($H125:J125)-SUM($AL125:AN125)),2)))</f>
        <v>0.0</v>
      </c>
      <c r="L125" s="31">
        <f>AP125+MIN(V124+AF125-AP125,MAX(0,ROUND(ROUND(Долги!$D$19-SUM($AL125:$AU125),2)-(SUM($H125:K125)-SUM($AL125:AO125)),2)))</f>
        <v>0.0</v>
      </c>
      <c r="M125" s="31">
        <f>AQ125+MIN(W124+AG125-AQ125,MAX(0,ROUND(ROUND(Долги!$D$19-SUM($AL125:$AU125),2)-(SUM($H125:L125)-SUM($AL125:AP125)),2)))</f>
        <v>0.0</v>
      </c>
      <c r="N125" s="31">
        <f>AR125+MIN(X124+AH125-AR125,MAX(0,ROUND(ROUND(Долги!$D$19-SUM($AL125:$AU125),2)-(SUM($H125:M125)-SUM($AL125:AQ125)),2)))</f>
        <v>0.0</v>
      </c>
      <c r="O125" s="31">
        <f>AS125+MIN(Y124+AI125-AS125,MAX(0,ROUND(ROUND(Долги!$D$19-SUM($AL125:$AU125),2)-(SUM($H125:N125)-SUM($AL125:AR125)),2)))</f>
        <v>0.0</v>
      </c>
      <c r="P125" s="31">
        <f>AT125+MIN(Z124+AJ125-AT125,MAX(0,ROUND(ROUND(Долги!$D$19-SUM($AL125:$AU125),2)-(SUM($H125:O125)-SUM($AL125:AS125)),2)))</f>
        <v>0.0</v>
      </c>
      <c r="Q125" s="31">
        <f>AU125+MIN(AA124+AK125-AU125,MAX(0,ROUND(ROUND(Долги!$D$19-SUM($AL125:$AU125),2)-(SUM($H125:P125)-SUM($AL125:AT125)),2)))</f>
        <v>0.0</v>
      </c>
      <c r="R125" s="31">
        <f>IF(R124+AB125-H125&lt;=0.01,0,ROUND(R124+AB125-H125,2))</f>
        <v>0.0</v>
      </c>
      <c r="S125" s="31">
        <f>IF(S124+AC125-I125&lt;=0.01,0,ROUND(S124+AC125-I125,2))</f>
        <v>0.0</v>
      </c>
      <c r="T125" s="31">
        <f>IF(T124+AD125-J125&lt;=0.01,0,ROUND(T124+AD125-J125,2))</f>
        <v>0.0</v>
      </c>
      <c r="U125" s="31">
        <f>IF(U124+AE125-K125&lt;=0.01,0,ROUND(U124+AE125-K125,2))</f>
        <v>0.0</v>
      </c>
      <c r="V125" s="31">
        <f>IF(V124+AF125-L125&lt;=0.01,0,ROUND(V124+AF125-L125,2))</f>
        <v>0.0</v>
      </c>
      <c r="W125" s="31">
        <f>IF(W124+AG125-M125&lt;=0.01,0,ROUND(W124+AG125-M125,2))</f>
        <v>0.0</v>
      </c>
      <c r="X125" s="31">
        <f>IF(X124+AH125-N125&lt;=0.01,0,ROUND(X124+AH125-N125,2))</f>
        <v>0.0</v>
      </c>
      <c r="Y125" s="31">
        <f>IF(Y124+AI125-O125&lt;=0.01,0,ROUND(Y124+AI125-O125,2))</f>
        <v>0.0</v>
      </c>
      <c r="Z125" s="31">
        <f>IF(Z124+AJ125-P125&lt;=0.01,0,ROUND(Z124+AJ125-P125,2))</f>
        <v>0.0</v>
      </c>
      <c r="AA125" s="31">
        <f>IF(AA124+AK125-Q125&lt;=0.01,0,ROUND(AA124+AK125-Q125,2))</f>
        <v>0.0</v>
      </c>
      <c r="AB125" s="31">
        <f>ROUND(R124*AB$5/1200,2)</f>
        <v>0.0</v>
      </c>
      <c r="AC125" s="31">
        <f>ROUND(S124*AC$5/1200,2)</f>
        <v>0.0</v>
      </c>
      <c r="AD125" s="31">
        <f>ROUND(T124*AD$5/1200,2)</f>
        <v>0.0</v>
      </c>
      <c r="AE125" s="31">
        <f>ROUND(U124*AE$5/1200,2)</f>
        <v>0.0</v>
      </c>
      <c r="AF125" s="31">
        <f>ROUND(V124*AF$5/1200,2)</f>
        <v>0.0</v>
      </c>
      <c r="AG125" s="31">
        <f>ROUND(W124*AG$5/1200,2)</f>
        <v>0.0</v>
      </c>
      <c r="AH125" s="31">
        <f>ROUND(X124*AH$5/1200,2)</f>
        <v>0.0</v>
      </c>
      <c r="AI125" s="31">
        <f>ROUND(Y124*AI$5/1200,2)</f>
        <v>0.0</v>
      </c>
      <c r="AJ125" s="31">
        <f>ROUND(Z124*AJ$5/1200,2)</f>
        <v>0.0</v>
      </c>
      <c r="AK125" s="31">
        <f>ROUND(AA124*AK$5/1200,2)</f>
        <v>0.0</v>
      </c>
      <c r="AL125" s="31">
        <f>MIN(AL$5,R124+AB125)</f>
        <v>0.0</v>
      </c>
      <c r="AM125" s="31">
        <f>MIN(AM$5,S124+AC125)</f>
        <v>0.0</v>
      </c>
      <c r="AN125" s="31">
        <f>MIN(AN$5,T124+AD125)</f>
        <v>0.0</v>
      </c>
      <c r="AO125" s="31">
        <f>MIN(AO$5,U124+AE125)</f>
        <v>0.0</v>
      </c>
      <c r="AP125" s="31">
        <f>MIN(AP$5,V124+AF125)</f>
        <v>0.0</v>
      </c>
      <c r="AQ125" s="31">
        <f>MIN(AQ$5,W124+AG125)</f>
        <v>0.0</v>
      </c>
      <c r="AR125" s="31">
        <f>MIN(AR$5,X124+AH125)</f>
        <v>0.0</v>
      </c>
      <c r="AS125" s="31">
        <f>MIN(AS$5,Y124+AI125)</f>
        <v>0.0</v>
      </c>
      <c r="AT125" s="31">
        <f>MIN(AT$5,Z124+AJ125)</f>
        <v>0.0</v>
      </c>
      <c r="AU125" s="31">
        <f>MIN(AU$5,AA124+AK125)</f>
        <v>0.0</v>
      </c>
    </row>
    <row r="126">
      <c r="A126" s="25" t="str">
        <f>IF(F125&gt;0.005,121,"")</f>
        <v/>
      </c>
      <c r="B126" s="33" t="str">
        <f>IF(A126="","",EDATE(Долги!$D$5,120))</f>
        <v/>
      </c>
      <c r="C126" s="31">
        <f>SUM(H126:Q126)</f>
        <v>0.0</v>
      </c>
      <c r="D126" s="31">
        <f>SUM(AB126:AK126)</f>
        <v>0.0</v>
      </c>
      <c r="E126" s="31">
        <f>C126-D126</f>
        <v>0.0</v>
      </c>
      <c r="F126" s="31">
        <f>SUM(R126:AA126)</f>
        <v>0.0</v>
      </c>
      <c r="G126" s="34" t="str">
        <f>IF(OR(A126="",$F$5&lt;=0),"",REPT("█",ROUND(20*F126/$F$5,0)))</f>
        <v/>
      </c>
      <c r="H126" s="31">
        <f>AL126+MIN(R125+AB126-AL126,MAX(0,ROUND(Долги!$D$19-SUM($AL126:$AU126),2)))</f>
        <v>0.0</v>
      </c>
      <c r="I126" s="31">
        <f>AM126+MIN(S125+AC126-AM126,MAX(0,ROUND(ROUND(Долги!$D$19-SUM($AL126:$AU126),2)-(SUM($H126:H126)-SUM($AL126:AL126)),2)))</f>
        <v>0.0</v>
      </c>
      <c r="J126" s="31">
        <f>AN126+MIN(T125+AD126-AN126,MAX(0,ROUND(ROUND(Долги!$D$19-SUM($AL126:$AU126),2)-(SUM($H126:I126)-SUM($AL126:AM126)),2)))</f>
        <v>0.0</v>
      </c>
      <c r="K126" s="31">
        <f>AO126+MIN(U125+AE126-AO126,MAX(0,ROUND(ROUND(Долги!$D$19-SUM($AL126:$AU126),2)-(SUM($H126:J126)-SUM($AL126:AN126)),2)))</f>
        <v>0.0</v>
      </c>
      <c r="L126" s="31">
        <f>AP126+MIN(V125+AF126-AP126,MAX(0,ROUND(ROUND(Долги!$D$19-SUM($AL126:$AU126),2)-(SUM($H126:K126)-SUM($AL126:AO126)),2)))</f>
        <v>0.0</v>
      </c>
      <c r="M126" s="31">
        <f>AQ126+MIN(W125+AG126-AQ126,MAX(0,ROUND(ROUND(Долги!$D$19-SUM($AL126:$AU126),2)-(SUM($H126:L126)-SUM($AL126:AP126)),2)))</f>
        <v>0.0</v>
      </c>
      <c r="N126" s="31">
        <f>AR126+MIN(X125+AH126-AR126,MAX(0,ROUND(ROUND(Долги!$D$19-SUM($AL126:$AU126),2)-(SUM($H126:M126)-SUM($AL126:AQ126)),2)))</f>
        <v>0.0</v>
      </c>
      <c r="O126" s="31">
        <f>AS126+MIN(Y125+AI126-AS126,MAX(0,ROUND(ROUND(Долги!$D$19-SUM($AL126:$AU126),2)-(SUM($H126:N126)-SUM($AL126:AR126)),2)))</f>
        <v>0.0</v>
      </c>
      <c r="P126" s="31">
        <f>AT126+MIN(Z125+AJ126-AT126,MAX(0,ROUND(ROUND(Долги!$D$19-SUM($AL126:$AU126),2)-(SUM($H126:O126)-SUM($AL126:AS126)),2)))</f>
        <v>0.0</v>
      </c>
      <c r="Q126" s="31">
        <f>AU126+MIN(AA125+AK126-AU126,MAX(0,ROUND(ROUND(Долги!$D$19-SUM($AL126:$AU126),2)-(SUM($H126:P126)-SUM($AL126:AT126)),2)))</f>
        <v>0.0</v>
      </c>
      <c r="R126" s="31">
        <f>IF(R125+AB126-H126&lt;=0.01,0,ROUND(R125+AB126-H126,2))</f>
        <v>0.0</v>
      </c>
      <c r="S126" s="31">
        <f>IF(S125+AC126-I126&lt;=0.01,0,ROUND(S125+AC126-I126,2))</f>
        <v>0.0</v>
      </c>
      <c r="T126" s="31">
        <f>IF(T125+AD126-J126&lt;=0.01,0,ROUND(T125+AD126-J126,2))</f>
        <v>0.0</v>
      </c>
      <c r="U126" s="31">
        <f>IF(U125+AE126-K126&lt;=0.01,0,ROUND(U125+AE126-K126,2))</f>
        <v>0.0</v>
      </c>
      <c r="V126" s="31">
        <f>IF(V125+AF126-L126&lt;=0.01,0,ROUND(V125+AF126-L126,2))</f>
        <v>0.0</v>
      </c>
      <c r="W126" s="31">
        <f>IF(W125+AG126-M126&lt;=0.01,0,ROUND(W125+AG126-M126,2))</f>
        <v>0.0</v>
      </c>
      <c r="X126" s="31">
        <f>IF(X125+AH126-N126&lt;=0.01,0,ROUND(X125+AH126-N126,2))</f>
        <v>0.0</v>
      </c>
      <c r="Y126" s="31">
        <f>IF(Y125+AI126-O126&lt;=0.01,0,ROUND(Y125+AI126-O126,2))</f>
        <v>0.0</v>
      </c>
      <c r="Z126" s="31">
        <f>IF(Z125+AJ126-P126&lt;=0.01,0,ROUND(Z125+AJ126-P126,2))</f>
        <v>0.0</v>
      </c>
      <c r="AA126" s="31">
        <f>IF(AA125+AK126-Q126&lt;=0.01,0,ROUND(AA125+AK126-Q126,2))</f>
        <v>0.0</v>
      </c>
      <c r="AB126" s="31">
        <f>ROUND(R125*AB$5/1200,2)</f>
        <v>0.0</v>
      </c>
      <c r="AC126" s="31">
        <f>ROUND(S125*AC$5/1200,2)</f>
        <v>0.0</v>
      </c>
      <c r="AD126" s="31">
        <f>ROUND(T125*AD$5/1200,2)</f>
        <v>0.0</v>
      </c>
      <c r="AE126" s="31">
        <f>ROUND(U125*AE$5/1200,2)</f>
        <v>0.0</v>
      </c>
      <c r="AF126" s="31">
        <f>ROUND(V125*AF$5/1200,2)</f>
        <v>0.0</v>
      </c>
      <c r="AG126" s="31">
        <f>ROUND(W125*AG$5/1200,2)</f>
        <v>0.0</v>
      </c>
      <c r="AH126" s="31">
        <f>ROUND(X125*AH$5/1200,2)</f>
        <v>0.0</v>
      </c>
      <c r="AI126" s="31">
        <f>ROUND(Y125*AI$5/1200,2)</f>
        <v>0.0</v>
      </c>
      <c r="AJ126" s="31">
        <f>ROUND(Z125*AJ$5/1200,2)</f>
        <v>0.0</v>
      </c>
      <c r="AK126" s="31">
        <f>ROUND(AA125*AK$5/1200,2)</f>
        <v>0.0</v>
      </c>
      <c r="AL126" s="31">
        <f>MIN(AL$5,R125+AB126)</f>
        <v>0.0</v>
      </c>
      <c r="AM126" s="31">
        <f>MIN(AM$5,S125+AC126)</f>
        <v>0.0</v>
      </c>
      <c r="AN126" s="31">
        <f>MIN(AN$5,T125+AD126)</f>
        <v>0.0</v>
      </c>
      <c r="AO126" s="31">
        <f>MIN(AO$5,U125+AE126)</f>
        <v>0.0</v>
      </c>
      <c r="AP126" s="31">
        <f>MIN(AP$5,V125+AF126)</f>
        <v>0.0</v>
      </c>
      <c r="AQ126" s="31">
        <f>MIN(AQ$5,W125+AG126)</f>
        <v>0.0</v>
      </c>
      <c r="AR126" s="31">
        <f>MIN(AR$5,X125+AH126)</f>
        <v>0.0</v>
      </c>
      <c r="AS126" s="31">
        <f>MIN(AS$5,Y125+AI126)</f>
        <v>0.0</v>
      </c>
      <c r="AT126" s="31">
        <f>MIN(AT$5,Z125+AJ126)</f>
        <v>0.0</v>
      </c>
      <c r="AU126" s="31">
        <f>MIN(AU$5,AA125+AK126)</f>
        <v>0.0</v>
      </c>
    </row>
    <row r="127">
      <c r="A127" s="25" t="str">
        <f>IF(F126&gt;0.005,122,"")</f>
        <v/>
      </c>
      <c r="B127" s="33" t="str">
        <f>IF(A127="","",EDATE(Долги!$D$5,121))</f>
        <v/>
      </c>
      <c r="C127" s="31">
        <f>SUM(H127:Q127)</f>
        <v>0.0</v>
      </c>
      <c r="D127" s="31">
        <f>SUM(AB127:AK127)</f>
        <v>0.0</v>
      </c>
      <c r="E127" s="31">
        <f>C127-D127</f>
        <v>0.0</v>
      </c>
      <c r="F127" s="31">
        <f>SUM(R127:AA127)</f>
        <v>0.0</v>
      </c>
      <c r="G127" s="34" t="str">
        <f>IF(OR(A127="",$F$5&lt;=0),"",REPT("█",ROUND(20*F127/$F$5,0)))</f>
        <v/>
      </c>
      <c r="H127" s="31">
        <f>AL127+MIN(R126+AB127-AL127,MAX(0,ROUND(Долги!$D$19-SUM($AL127:$AU127),2)))</f>
        <v>0.0</v>
      </c>
      <c r="I127" s="31">
        <f>AM127+MIN(S126+AC127-AM127,MAX(0,ROUND(ROUND(Долги!$D$19-SUM($AL127:$AU127),2)-(SUM($H127:H127)-SUM($AL127:AL127)),2)))</f>
        <v>0.0</v>
      </c>
      <c r="J127" s="31">
        <f>AN127+MIN(T126+AD127-AN127,MAX(0,ROUND(ROUND(Долги!$D$19-SUM($AL127:$AU127),2)-(SUM($H127:I127)-SUM($AL127:AM127)),2)))</f>
        <v>0.0</v>
      </c>
      <c r="K127" s="31">
        <f>AO127+MIN(U126+AE127-AO127,MAX(0,ROUND(ROUND(Долги!$D$19-SUM($AL127:$AU127),2)-(SUM($H127:J127)-SUM($AL127:AN127)),2)))</f>
        <v>0.0</v>
      </c>
      <c r="L127" s="31">
        <f>AP127+MIN(V126+AF127-AP127,MAX(0,ROUND(ROUND(Долги!$D$19-SUM($AL127:$AU127),2)-(SUM($H127:K127)-SUM($AL127:AO127)),2)))</f>
        <v>0.0</v>
      </c>
      <c r="M127" s="31">
        <f>AQ127+MIN(W126+AG127-AQ127,MAX(0,ROUND(ROUND(Долги!$D$19-SUM($AL127:$AU127),2)-(SUM($H127:L127)-SUM($AL127:AP127)),2)))</f>
        <v>0.0</v>
      </c>
      <c r="N127" s="31">
        <f>AR127+MIN(X126+AH127-AR127,MAX(0,ROUND(ROUND(Долги!$D$19-SUM($AL127:$AU127),2)-(SUM($H127:M127)-SUM($AL127:AQ127)),2)))</f>
        <v>0.0</v>
      </c>
      <c r="O127" s="31">
        <f>AS127+MIN(Y126+AI127-AS127,MAX(0,ROUND(ROUND(Долги!$D$19-SUM($AL127:$AU127),2)-(SUM($H127:N127)-SUM($AL127:AR127)),2)))</f>
        <v>0.0</v>
      </c>
      <c r="P127" s="31">
        <f>AT127+MIN(Z126+AJ127-AT127,MAX(0,ROUND(ROUND(Долги!$D$19-SUM($AL127:$AU127),2)-(SUM($H127:O127)-SUM($AL127:AS127)),2)))</f>
        <v>0.0</v>
      </c>
      <c r="Q127" s="31">
        <f>AU127+MIN(AA126+AK127-AU127,MAX(0,ROUND(ROUND(Долги!$D$19-SUM($AL127:$AU127),2)-(SUM($H127:P127)-SUM($AL127:AT127)),2)))</f>
        <v>0.0</v>
      </c>
      <c r="R127" s="31">
        <f>IF(R126+AB127-H127&lt;=0.01,0,ROUND(R126+AB127-H127,2))</f>
        <v>0.0</v>
      </c>
      <c r="S127" s="31">
        <f>IF(S126+AC127-I127&lt;=0.01,0,ROUND(S126+AC127-I127,2))</f>
        <v>0.0</v>
      </c>
      <c r="T127" s="31">
        <f>IF(T126+AD127-J127&lt;=0.01,0,ROUND(T126+AD127-J127,2))</f>
        <v>0.0</v>
      </c>
      <c r="U127" s="31">
        <f>IF(U126+AE127-K127&lt;=0.01,0,ROUND(U126+AE127-K127,2))</f>
        <v>0.0</v>
      </c>
      <c r="V127" s="31">
        <f>IF(V126+AF127-L127&lt;=0.01,0,ROUND(V126+AF127-L127,2))</f>
        <v>0.0</v>
      </c>
      <c r="W127" s="31">
        <f>IF(W126+AG127-M127&lt;=0.01,0,ROUND(W126+AG127-M127,2))</f>
        <v>0.0</v>
      </c>
      <c r="X127" s="31">
        <f>IF(X126+AH127-N127&lt;=0.01,0,ROUND(X126+AH127-N127,2))</f>
        <v>0.0</v>
      </c>
      <c r="Y127" s="31">
        <f>IF(Y126+AI127-O127&lt;=0.01,0,ROUND(Y126+AI127-O127,2))</f>
        <v>0.0</v>
      </c>
      <c r="Z127" s="31">
        <f>IF(Z126+AJ127-P127&lt;=0.01,0,ROUND(Z126+AJ127-P127,2))</f>
        <v>0.0</v>
      </c>
      <c r="AA127" s="31">
        <f>IF(AA126+AK127-Q127&lt;=0.01,0,ROUND(AA126+AK127-Q127,2))</f>
        <v>0.0</v>
      </c>
      <c r="AB127" s="31">
        <f>ROUND(R126*AB$5/1200,2)</f>
        <v>0.0</v>
      </c>
      <c r="AC127" s="31">
        <f>ROUND(S126*AC$5/1200,2)</f>
        <v>0.0</v>
      </c>
      <c r="AD127" s="31">
        <f>ROUND(T126*AD$5/1200,2)</f>
        <v>0.0</v>
      </c>
      <c r="AE127" s="31">
        <f>ROUND(U126*AE$5/1200,2)</f>
        <v>0.0</v>
      </c>
      <c r="AF127" s="31">
        <f>ROUND(V126*AF$5/1200,2)</f>
        <v>0.0</v>
      </c>
      <c r="AG127" s="31">
        <f>ROUND(W126*AG$5/1200,2)</f>
        <v>0.0</v>
      </c>
      <c r="AH127" s="31">
        <f>ROUND(X126*AH$5/1200,2)</f>
        <v>0.0</v>
      </c>
      <c r="AI127" s="31">
        <f>ROUND(Y126*AI$5/1200,2)</f>
        <v>0.0</v>
      </c>
      <c r="AJ127" s="31">
        <f>ROUND(Z126*AJ$5/1200,2)</f>
        <v>0.0</v>
      </c>
      <c r="AK127" s="31">
        <f>ROUND(AA126*AK$5/1200,2)</f>
        <v>0.0</v>
      </c>
      <c r="AL127" s="31">
        <f>MIN(AL$5,R126+AB127)</f>
        <v>0.0</v>
      </c>
      <c r="AM127" s="31">
        <f>MIN(AM$5,S126+AC127)</f>
        <v>0.0</v>
      </c>
      <c r="AN127" s="31">
        <f>MIN(AN$5,T126+AD127)</f>
        <v>0.0</v>
      </c>
      <c r="AO127" s="31">
        <f>MIN(AO$5,U126+AE127)</f>
        <v>0.0</v>
      </c>
      <c r="AP127" s="31">
        <f>MIN(AP$5,V126+AF127)</f>
        <v>0.0</v>
      </c>
      <c r="AQ127" s="31">
        <f>MIN(AQ$5,W126+AG127)</f>
        <v>0.0</v>
      </c>
      <c r="AR127" s="31">
        <f>MIN(AR$5,X126+AH127)</f>
        <v>0.0</v>
      </c>
      <c r="AS127" s="31">
        <f>MIN(AS$5,Y126+AI127)</f>
        <v>0.0</v>
      </c>
      <c r="AT127" s="31">
        <f>MIN(AT$5,Z126+AJ127)</f>
        <v>0.0</v>
      </c>
      <c r="AU127" s="31">
        <f>MIN(AU$5,AA126+AK127)</f>
        <v>0.0</v>
      </c>
    </row>
    <row r="128">
      <c r="A128" s="25" t="str">
        <f>IF(F127&gt;0.005,123,"")</f>
        <v/>
      </c>
      <c r="B128" s="33" t="str">
        <f>IF(A128="","",EDATE(Долги!$D$5,122))</f>
        <v/>
      </c>
      <c r="C128" s="31">
        <f>SUM(H128:Q128)</f>
        <v>0.0</v>
      </c>
      <c r="D128" s="31">
        <f>SUM(AB128:AK128)</f>
        <v>0.0</v>
      </c>
      <c r="E128" s="31">
        <f>C128-D128</f>
        <v>0.0</v>
      </c>
      <c r="F128" s="31">
        <f>SUM(R128:AA128)</f>
        <v>0.0</v>
      </c>
      <c r="G128" s="34" t="str">
        <f>IF(OR(A128="",$F$5&lt;=0),"",REPT("█",ROUND(20*F128/$F$5,0)))</f>
        <v/>
      </c>
      <c r="H128" s="31">
        <f>AL128+MIN(R127+AB128-AL128,MAX(0,ROUND(Долги!$D$19-SUM($AL128:$AU128),2)))</f>
        <v>0.0</v>
      </c>
      <c r="I128" s="31">
        <f>AM128+MIN(S127+AC128-AM128,MAX(0,ROUND(ROUND(Долги!$D$19-SUM($AL128:$AU128),2)-(SUM($H128:H128)-SUM($AL128:AL128)),2)))</f>
        <v>0.0</v>
      </c>
      <c r="J128" s="31">
        <f>AN128+MIN(T127+AD128-AN128,MAX(0,ROUND(ROUND(Долги!$D$19-SUM($AL128:$AU128),2)-(SUM($H128:I128)-SUM($AL128:AM128)),2)))</f>
        <v>0.0</v>
      </c>
      <c r="K128" s="31">
        <f>AO128+MIN(U127+AE128-AO128,MAX(0,ROUND(ROUND(Долги!$D$19-SUM($AL128:$AU128),2)-(SUM($H128:J128)-SUM($AL128:AN128)),2)))</f>
        <v>0.0</v>
      </c>
      <c r="L128" s="31">
        <f>AP128+MIN(V127+AF128-AP128,MAX(0,ROUND(ROUND(Долги!$D$19-SUM($AL128:$AU128),2)-(SUM($H128:K128)-SUM($AL128:AO128)),2)))</f>
        <v>0.0</v>
      </c>
      <c r="M128" s="31">
        <f>AQ128+MIN(W127+AG128-AQ128,MAX(0,ROUND(ROUND(Долги!$D$19-SUM($AL128:$AU128),2)-(SUM($H128:L128)-SUM($AL128:AP128)),2)))</f>
        <v>0.0</v>
      </c>
      <c r="N128" s="31">
        <f>AR128+MIN(X127+AH128-AR128,MAX(0,ROUND(ROUND(Долги!$D$19-SUM($AL128:$AU128),2)-(SUM($H128:M128)-SUM($AL128:AQ128)),2)))</f>
        <v>0.0</v>
      </c>
      <c r="O128" s="31">
        <f>AS128+MIN(Y127+AI128-AS128,MAX(0,ROUND(ROUND(Долги!$D$19-SUM($AL128:$AU128),2)-(SUM($H128:N128)-SUM($AL128:AR128)),2)))</f>
        <v>0.0</v>
      </c>
      <c r="P128" s="31">
        <f>AT128+MIN(Z127+AJ128-AT128,MAX(0,ROUND(ROUND(Долги!$D$19-SUM($AL128:$AU128),2)-(SUM($H128:O128)-SUM($AL128:AS128)),2)))</f>
        <v>0.0</v>
      </c>
      <c r="Q128" s="31">
        <f>AU128+MIN(AA127+AK128-AU128,MAX(0,ROUND(ROUND(Долги!$D$19-SUM($AL128:$AU128),2)-(SUM($H128:P128)-SUM($AL128:AT128)),2)))</f>
        <v>0.0</v>
      </c>
      <c r="R128" s="31">
        <f>IF(R127+AB128-H128&lt;=0.01,0,ROUND(R127+AB128-H128,2))</f>
        <v>0.0</v>
      </c>
      <c r="S128" s="31">
        <f>IF(S127+AC128-I128&lt;=0.01,0,ROUND(S127+AC128-I128,2))</f>
        <v>0.0</v>
      </c>
      <c r="T128" s="31">
        <f>IF(T127+AD128-J128&lt;=0.01,0,ROUND(T127+AD128-J128,2))</f>
        <v>0.0</v>
      </c>
      <c r="U128" s="31">
        <f>IF(U127+AE128-K128&lt;=0.01,0,ROUND(U127+AE128-K128,2))</f>
        <v>0.0</v>
      </c>
      <c r="V128" s="31">
        <f>IF(V127+AF128-L128&lt;=0.01,0,ROUND(V127+AF128-L128,2))</f>
        <v>0.0</v>
      </c>
      <c r="W128" s="31">
        <f>IF(W127+AG128-M128&lt;=0.01,0,ROUND(W127+AG128-M128,2))</f>
        <v>0.0</v>
      </c>
      <c r="X128" s="31">
        <f>IF(X127+AH128-N128&lt;=0.01,0,ROUND(X127+AH128-N128,2))</f>
        <v>0.0</v>
      </c>
      <c r="Y128" s="31">
        <f>IF(Y127+AI128-O128&lt;=0.01,0,ROUND(Y127+AI128-O128,2))</f>
        <v>0.0</v>
      </c>
      <c r="Z128" s="31">
        <f>IF(Z127+AJ128-P128&lt;=0.01,0,ROUND(Z127+AJ128-P128,2))</f>
        <v>0.0</v>
      </c>
      <c r="AA128" s="31">
        <f>IF(AA127+AK128-Q128&lt;=0.01,0,ROUND(AA127+AK128-Q128,2))</f>
        <v>0.0</v>
      </c>
      <c r="AB128" s="31">
        <f>ROUND(R127*AB$5/1200,2)</f>
        <v>0.0</v>
      </c>
      <c r="AC128" s="31">
        <f>ROUND(S127*AC$5/1200,2)</f>
        <v>0.0</v>
      </c>
      <c r="AD128" s="31">
        <f>ROUND(T127*AD$5/1200,2)</f>
        <v>0.0</v>
      </c>
      <c r="AE128" s="31">
        <f>ROUND(U127*AE$5/1200,2)</f>
        <v>0.0</v>
      </c>
      <c r="AF128" s="31">
        <f>ROUND(V127*AF$5/1200,2)</f>
        <v>0.0</v>
      </c>
      <c r="AG128" s="31">
        <f>ROUND(W127*AG$5/1200,2)</f>
        <v>0.0</v>
      </c>
      <c r="AH128" s="31">
        <f>ROUND(X127*AH$5/1200,2)</f>
        <v>0.0</v>
      </c>
      <c r="AI128" s="31">
        <f>ROUND(Y127*AI$5/1200,2)</f>
        <v>0.0</v>
      </c>
      <c r="AJ128" s="31">
        <f>ROUND(Z127*AJ$5/1200,2)</f>
        <v>0.0</v>
      </c>
      <c r="AK128" s="31">
        <f>ROUND(AA127*AK$5/1200,2)</f>
        <v>0.0</v>
      </c>
      <c r="AL128" s="31">
        <f>MIN(AL$5,R127+AB128)</f>
        <v>0.0</v>
      </c>
      <c r="AM128" s="31">
        <f>MIN(AM$5,S127+AC128)</f>
        <v>0.0</v>
      </c>
      <c r="AN128" s="31">
        <f>MIN(AN$5,T127+AD128)</f>
        <v>0.0</v>
      </c>
      <c r="AO128" s="31">
        <f>MIN(AO$5,U127+AE128)</f>
        <v>0.0</v>
      </c>
      <c r="AP128" s="31">
        <f>MIN(AP$5,V127+AF128)</f>
        <v>0.0</v>
      </c>
      <c r="AQ128" s="31">
        <f>MIN(AQ$5,W127+AG128)</f>
        <v>0.0</v>
      </c>
      <c r="AR128" s="31">
        <f>MIN(AR$5,X127+AH128)</f>
        <v>0.0</v>
      </c>
      <c r="AS128" s="31">
        <f>MIN(AS$5,Y127+AI128)</f>
        <v>0.0</v>
      </c>
      <c r="AT128" s="31">
        <f>MIN(AT$5,Z127+AJ128)</f>
        <v>0.0</v>
      </c>
      <c r="AU128" s="31">
        <f>MIN(AU$5,AA127+AK128)</f>
        <v>0.0</v>
      </c>
    </row>
    <row r="129">
      <c r="A129" s="25" t="str">
        <f>IF(F128&gt;0.005,124,"")</f>
        <v/>
      </c>
      <c r="B129" s="33" t="str">
        <f>IF(A129="","",EDATE(Долги!$D$5,123))</f>
        <v/>
      </c>
      <c r="C129" s="31">
        <f>SUM(H129:Q129)</f>
        <v>0.0</v>
      </c>
      <c r="D129" s="31">
        <f>SUM(AB129:AK129)</f>
        <v>0.0</v>
      </c>
      <c r="E129" s="31">
        <f>C129-D129</f>
        <v>0.0</v>
      </c>
      <c r="F129" s="31">
        <f>SUM(R129:AA129)</f>
        <v>0.0</v>
      </c>
      <c r="G129" s="34" t="str">
        <f>IF(OR(A129="",$F$5&lt;=0),"",REPT("█",ROUND(20*F129/$F$5,0)))</f>
        <v/>
      </c>
      <c r="H129" s="31">
        <f>AL129+MIN(R128+AB129-AL129,MAX(0,ROUND(Долги!$D$19-SUM($AL129:$AU129),2)))</f>
        <v>0.0</v>
      </c>
      <c r="I129" s="31">
        <f>AM129+MIN(S128+AC129-AM129,MAX(0,ROUND(ROUND(Долги!$D$19-SUM($AL129:$AU129),2)-(SUM($H129:H129)-SUM($AL129:AL129)),2)))</f>
        <v>0.0</v>
      </c>
      <c r="J129" s="31">
        <f>AN129+MIN(T128+AD129-AN129,MAX(0,ROUND(ROUND(Долги!$D$19-SUM($AL129:$AU129),2)-(SUM($H129:I129)-SUM($AL129:AM129)),2)))</f>
        <v>0.0</v>
      </c>
      <c r="K129" s="31">
        <f>AO129+MIN(U128+AE129-AO129,MAX(0,ROUND(ROUND(Долги!$D$19-SUM($AL129:$AU129),2)-(SUM($H129:J129)-SUM($AL129:AN129)),2)))</f>
        <v>0.0</v>
      </c>
      <c r="L129" s="31">
        <f>AP129+MIN(V128+AF129-AP129,MAX(0,ROUND(ROUND(Долги!$D$19-SUM($AL129:$AU129),2)-(SUM($H129:K129)-SUM($AL129:AO129)),2)))</f>
        <v>0.0</v>
      </c>
      <c r="M129" s="31">
        <f>AQ129+MIN(W128+AG129-AQ129,MAX(0,ROUND(ROUND(Долги!$D$19-SUM($AL129:$AU129),2)-(SUM($H129:L129)-SUM($AL129:AP129)),2)))</f>
        <v>0.0</v>
      </c>
      <c r="N129" s="31">
        <f>AR129+MIN(X128+AH129-AR129,MAX(0,ROUND(ROUND(Долги!$D$19-SUM($AL129:$AU129),2)-(SUM($H129:M129)-SUM($AL129:AQ129)),2)))</f>
        <v>0.0</v>
      </c>
      <c r="O129" s="31">
        <f>AS129+MIN(Y128+AI129-AS129,MAX(0,ROUND(ROUND(Долги!$D$19-SUM($AL129:$AU129),2)-(SUM($H129:N129)-SUM($AL129:AR129)),2)))</f>
        <v>0.0</v>
      </c>
      <c r="P129" s="31">
        <f>AT129+MIN(Z128+AJ129-AT129,MAX(0,ROUND(ROUND(Долги!$D$19-SUM($AL129:$AU129),2)-(SUM($H129:O129)-SUM($AL129:AS129)),2)))</f>
        <v>0.0</v>
      </c>
      <c r="Q129" s="31">
        <f>AU129+MIN(AA128+AK129-AU129,MAX(0,ROUND(ROUND(Долги!$D$19-SUM($AL129:$AU129),2)-(SUM($H129:P129)-SUM($AL129:AT129)),2)))</f>
        <v>0.0</v>
      </c>
      <c r="R129" s="31">
        <f>IF(R128+AB129-H129&lt;=0.01,0,ROUND(R128+AB129-H129,2))</f>
        <v>0.0</v>
      </c>
      <c r="S129" s="31">
        <f>IF(S128+AC129-I129&lt;=0.01,0,ROUND(S128+AC129-I129,2))</f>
        <v>0.0</v>
      </c>
      <c r="T129" s="31">
        <f>IF(T128+AD129-J129&lt;=0.01,0,ROUND(T128+AD129-J129,2))</f>
        <v>0.0</v>
      </c>
      <c r="U129" s="31">
        <f>IF(U128+AE129-K129&lt;=0.01,0,ROUND(U128+AE129-K129,2))</f>
        <v>0.0</v>
      </c>
      <c r="V129" s="31">
        <f>IF(V128+AF129-L129&lt;=0.01,0,ROUND(V128+AF129-L129,2))</f>
        <v>0.0</v>
      </c>
      <c r="W129" s="31">
        <f>IF(W128+AG129-M129&lt;=0.01,0,ROUND(W128+AG129-M129,2))</f>
        <v>0.0</v>
      </c>
      <c r="X129" s="31">
        <f>IF(X128+AH129-N129&lt;=0.01,0,ROUND(X128+AH129-N129,2))</f>
        <v>0.0</v>
      </c>
      <c r="Y129" s="31">
        <f>IF(Y128+AI129-O129&lt;=0.01,0,ROUND(Y128+AI129-O129,2))</f>
        <v>0.0</v>
      </c>
      <c r="Z129" s="31">
        <f>IF(Z128+AJ129-P129&lt;=0.01,0,ROUND(Z128+AJ129-P129,2))</f>
        <v>0.0</v>
      </c>
      <c r="AA129" s="31">
        <f>IF(AA128+AK129-Q129&lt;=0.01,0,ROUND(AA128+AK129-Q129,2))</f>
        <v>0.0</v>
      </c>
      <c r="AB129" s="31">
        <f>ROUND(R128*AB$5/1200,2)</f>
        <v>0.0</v>
      </c>
      <c r="AC129" s="31">
        <f>ROUND(S128*AC$5/1200,2)</f>
        <v>0.0</v>
      </c>
      <c r="AD129" s="31">
        <f>ROUND(T128*AD$5/1200,2)</f>
        <v>0.0</v>
      </c>
      <c r="AE129" s="31">
        <f>ROUND(U128*AE$5/1200,2)</f>
        <v>0.0</v>
      </c>
      <c r="AF129" s="31">
        <f>ROUND(V128*AF$5/1200,2)</f>
        <v>0.0</v>
      </c>
      <c r="AG129" s="31">
        <f>ROUND(W128*AG$5/1200,2)</f>
        <v>0.0</v>
      </c>
      <c r="AH129" s="31">
        <f>ROUND(X128*AH$5/1200,2)</f>
        <v>0.0</v>
      </c>
      <c r="AI129" s="31">
        <f>ROUND(Y128*AI$5/1200,2)</f>
        <v>0.0</v>
      </c>
      <c r="AJ129" s="31">
        <f>ROUND(Z128*AJ$5/1200,2)</f>
        <v>0.0</v>
      </c>
      <c r="AK129" s="31">
        <f>ROUND(AA128*AK$5/1200,2)</f>
        <v>0.0</v>
      </c>
      <c r="AL129" s="31">
        <f>MIN(AL$5,R128+AB129)</f>
        <v>0.0</v>
      </c>
      <c r="AM129" s="31">
        <f>MIN(AM$5,S128+AC129)</f>
        <v>0.0</v>
      </c>
      <c r="AN129" s="31">
        <f>MIN(AN$5,T128+AD129)</f>
        <v>0.0</v>
      </c>
      <c r="AO129" s="31">
        <f>MIN(AO$5,U128+AE129)</f>
        <v>0.0</v>
      </c>
      <c r="AP129" s="31">
        <f>MIN(AP$5,V128+AF129)</f>
        <v>0.0</v>
      </c>
      <c r="AQ129" s="31">
        <f>MIN(AQ$5,W128+AG129)</f>
        <v>0.0</v>
      </c>
      <c r="AR129" s="31">
        <f>MIN(AR$5,X128+AH129)</f>
        <v>0.0</v>
      </c>
      <c r="AS129" s="31">
        <f>MIN(AS$5,Y128+AI129)</f>
        <v>0.0</v>
      </c>
      <c r="AT129" s="31">
        <f>MIN(AT$5,Z128+AJ129)</f>
        <v>0.0</v>
      </c>
      <c r="AU129" s="31">
        <f>MIN(AU$5,AA128+AK129)</f>
        <v>0.0</v>
      </c>
    </row>
    <row r="130">
      <c r="A130" s="25" t="str">
        <f>IF(F129&gt;0.005,125,"")</f>
        <v/>
      </c>
      <c r="B130" s="33" t="str">
        <f>IF(A130="","",EDATE(Долги!$D$5,124))</f>
        <v/>
      </c>
      <c r="C130" s="31">
        <f>SUM(H130:Q130)</f>
        <v>0.0</v>
      </c>
      <c r="D130" s="31">
        <f>SUM(AB130:AK130)</f>
        <v>0.0</v>
      </c>
      <c r="E130" s="31">
        <f>C130-D130</f>
        <v>0.0</v>
      </c>
      <c r="F130" s="31">
        <f>SUM(R130:AA130)</f>
        <v>0.0</v>
      </c>
      <c r="G130" s="34" t="str">
        <f>IF(OR(A130="",$F$5&lt;=0),"",REPT("█",ROUND(20*F130/$F$5,0)))</f>
        <v/>
      </c>
      <c r="H130" s="31">
        <f>AL130+MIN(R129+AB130-AL130,MAX(0,ROUND(Долги!$D$19-SUM($AL130:$AU130),2)))</f>
        <v>0.0</v>
      </c>
      <c r="I130" s="31">
        <f>AM130+MIN(S129+AC130-AM130,MAX(0,ROUND(ROUND(Долги!$D$19-SUM($AL130:$AU130),2)-(SUM($H130:H130)-SUM($AL130:AL130)),2)))</f>
        <v>0.0</v>
      </c>
      <c r="J130" s="31">
        <f>AN130+MIN(T129+AD130-AN130,MAX(0,ROUND(ROUND(Долги!$D$19-SUM($AL130:$AU130),2)-(SUM($H130:I130)-SUM($AL130:AM130)),2)))</f>
        <v>0.0</v>
      </c>
      <c r="K130" s="31">
        <f>AO130+MIN(U129+AE130-AO130,MAX(0,ROUND(ROUND(Долги!$D$19-SUM($AL130:$AU130),2)-(SUM($H130:J130)-SUM($AL130:AN130)),2)))</f>
        <v>0.0</v>
      </c>
      <c r="L130" s="31">
        <f>AP130+MIN(V129+AF130-AP130,MAX(0,ROUND(ROUND(Долги!$D$19-SUM($AL130:$AU130),2)-(SUM($H130:K130)-SUM($AL130:AO130)),2)))</f>
        <v>0.0</v>
      </c>
      <c r="M130" s="31">
        <f>AQ130+MIN(W129+AG130-AQ130,MAX(0,ROUND(ROUND(Долги!$D$19-SUM($AL130:$AU130),2)-(SUM($H130:L130)-SUM($AL130:AP130)),2)))</f>
        <v>0.0</v>
      </c>
      <c r="N130" s="31">
        <f>AR130+MIN(X129+AH130-AR130,MAX(0,ROUND(ROUND(Долги!$D$19-SUM($AL130:$AU130),2)-(SUM($H130:M130)-SUM($AL130:AQ130)),2)))</f>
        <v>0.0</v>
      </c>
      <c r="O130" s="31">
        <f>AS130+MIN(Y129+AI130-AS130,MAX(0,ROUND(ROUND(Долги!$D$19-SUM($AL130:$AU130),2)-(SUM($H130:N130)-SUM($AL130:AR130)),2)))</f>
        <v>0.0</v>
      </c>
      <c r="P130" s="31">
        <f>AT130+MIN(Z129+AJ130-AT130,MAX(0,ROUND(ROUND(Долги!$D$19-SUM($AL130:$AU130),2)-(SUM($H130:O130)-SUM($AL130:AS130)),2)))</f>
        <v>0.0</v>
      </c>
      <c r="Q130" s="31">
        <f>AU130+MIN(AA129+AK130-AU130,MAX(0,ROUND(ROUND(Долги!$D$19-SUM($AL130:$AU130),2)-(SUM($H130:P130)-SUM($AL130:AT130)),2)))</f>
        <v>0.0</v>
      </c>
      <c r="R130" s="31">
        <f>IF(R129+AB130-H130&lt;=0.01,0,ROUND(R129+AB130-H130,2))</f>
        <v>0.0</v>
      </c>
      <c r="S130" s="31">
        <f>IF(S129+AC130-I130&lt;=0.01,0,ROUND(S129+AC130-I130,2))</f>
        <v>0.0</v>
      </c>
      <c r="T130" s="31">
        <f>IF(T129+AD130-J130&lt;=0.01,0,ROUND(T129+AD130-J130,2))</f>
        <v>0.0</v>
      </c>
      <c r="U130" s="31">
        <f>IF(U129+AE130-K130&lt;=0.01,0,ROUND(U129+AE130-K130,2))</f>
        <v>0.0</v>
      </c>
      <c r="V130" s="31">
        <f>IF(V129+AF130-L130&lt;=0.01,0,ROUND(V129+AF130-L130,2))</f>
        <v>0.0</v>
      </c>
      <c r="W130" s="31">
        <f>IF(W129+AG130-M130&lt;=0.01,0,ROUND(W129+AG130-M130,2))</f>
        <v>0.0</v>
      </c>
      <c r="X130" s="31">
        <f>IF(X129+AH130-N130&lt;=0.01,0,ROUND(X129+AH130-N130,2))</f>
        <v>0.0</v>
      </c>
      <c r="Y130" s="31">
        <f>IF(Y129+AI130-O130&lt;=0.01,0,ROUND(Y129+AI130-O130,2))</f>
        <v>0.0</v>
      </c>
      <c r="Z130" s="31">
        <f>IF(Z129+AJ130-P130&lt;=0.01,0,ROUND(Z129+AJ130-P130,2))</f>
        <v>0.0</v>
      </c>
      <c r="AA130" s="31">
        <f>IF(AA129+AK130-Q130&lt;=0.01,0,ROUND(AA129+AK130-Q130,2))</f>
        <v>0.0</v>
      </c>
      <c r="AB130" s="31">
        <f>ROUND(R129*AB$5/1200,2)</f>
        <v>0.0</v>
      </c>
      <c r="AC130" s="31">
        <f>ROUND(S129*AC$5/1200,2)</f>
        <v>0.0</v>
      </c>
      <c r="AD130" s="31">
        <f>ROUND(T129*AD$5/1200,2)</f>
        <v>0.0</v>
      </c>
      <c r="AE130" s="31">
        <f>ROUND(U129*AE$5/1200,2)</f>
        <v>0.0</v>
      </c>
      <c r="AF130" s="31">
        <f>ROUND(V129*AF$5/1200,2)</f>
        <v>0.0</v>
      </c>
      <c r="AG130" s="31">
        <f>ROUND(W129*AG$5/1200,2)</f>
        <v>0.0</v>
      </c>
      <c r="AH130" s="31">
        <f>ROUND(X129*AH$5/1200,2)</f>
        <v>0.0</v>
      </c>
      <c r="AI130" s="31">
        <f>ROUND(Y129*AI$5/1200,2)</f>
        <v>0.0</v>
      </c>
      <c r="AJ130" s="31">
        <f>ROUND(Z129*AJ$5/1200,2)</f>
        <v>0.0</v>
      </c>
      <c r="AK130" s="31">
        <f>ROUND(AA129*AK$5/1200,2)</f>
        <v>0.0</v>
      </c>
      <c r="AL130" s="31">
        <f>MIN(AL$5,R129+AB130)</f>
        <v>0.0</v>
      </c>
      <c r="AM130" s="31">
        <f>MIN(AM$5,S129+AC130)</f>
        <v>0.0</v>
      </c>
      <c r="AN130" s="31">
        <f>MIN(AN$5,T129+AD130)</f>
        <v>0.0</v>
      </c>
      <c r="AO130" s="31">
        <f>MIN(AO$5,U129+AE130)</f>
        <v>0.0</v>
      </c>
      <c r="AP130" s="31">
        <f>MIN(AP$5,V129+AF130)</f>
        <v>0.0</v>
      </c>
      <c r="AQ130" s="31">
        <f>MIN(AQ$5,W129+AG130)</f>
        <v>0.0</v>
      </c>
      <c r="AR130" s="31">
        <f>MIN(AR$5,X129+AH130)</f>
        <v>0.0</v>
      </c>
      <c r="AS130" s="31">
        <f>MIN(AS$5,Y129+AI130)</f>
        <v>0.0</v>
      </c>
      <c r="AT130" s="31">
        <f>MIN(AT$5,Z129+AJ130)</f>
        <v>0.0</v>
      </c>
      <c r="AU130" s="31">
        <f>MIN(AU$5,AA129+AK130)</f>
        <v>0.0</v>
      </c>
    </row>
    <row r="131">
      <c r="A131" s="25" t="str">
        <f>IF(F130&gt;0.005,126,"")</f>
        <v/>
      </c>
      <c r="B131" s="33" t="str">
        <f>IF(A131="","",EDATE(Долги!$D$5,125))</f>
        <v/>
      </c>
      <c r="C131" s="31">
        <f>SUM(H131:Q131)</f>
        <v>0.0</v>
      </c>
      <c r="D131" s="31">
        <f>SUM(AB131:AK131)</f>
        <v>0.0</v>
      </c>
      <c r="E131" s="31">
        <f>C131-D131</f>
        <v>0.0</v>
      </c>
      <c r="F131" s="31">
        <f>SUM(R131:AA131)</f>
        <v>0.0</v>
      </c>
      <c r="G131" s="34" t="str">
        <f>IF(OR(A131="",$F$5&lt;=0),"",REPT("█",ROUND(20*F131/$F$5,0)))</f>
        <v/>
      </c>
      <c r="H131" s="31">
        <f>AL131+MIN(R130+AB131-AL131,MAX(0,ROUND(Долги!$D$19-SUM($AL131:$AU131),2)))</f>
        <v>0.0</v>
      </c>
      <c r="I131" s="31">
        <f>AM131+MIN(S130+AC131-AM131,MAX(0,ROUND(ROUND(Долги!$D$19-SUM($AL131:$AU131),2)-(SUM($H131:H131)-SUM($AL131:AL131)),2)))</f>
        <v>0.0</v>
      </c>
      <c r="J131" s="31">
        <f>AN131+MIN(T130+AD131-AN131,MAX(0,ROUND(ROUND(Долги!$D$19-SUM($AL131:$AU131),2)-(SUM($H131:I131)-SUM($AL131:AM131)),2)))</f>
        <v>0.0</v>
      </c>
      <c r="K131" s="31">
        <f>AO131+MIN(U130+AE131-AO131,MAX(0,ROUND(ROUND(Долги!$D$19-SUM($AL131:$AU131),2)-(SUM($H131:J131)-SUM($AL131:AN131)),2)))</f>
        <v>0.0</v>
      </c>
      <c r="L131" s="31">
        <f>AP131+MIN(V130+AF131-AP131,MAX(0,ROUND(ROUND(Долги!$D$19-SUM($AL131:$AU131),2)-(SUM($H131:K131)-SUM($AL131:AO131)),2)))</f>
        <v>0.0</v>
      </c>
      <c r="M131" s="31">
        <f>AQ131+MIN(W130+AG131-AQ131,MAX(0,ROUND(ROUND(Долги!$D$19-SUM($AL131:$AU131),2)-(SUM($H131:L131)-SUM($AL131:AP131)),2)))</f>
        <v>0.0</v>
      </c>
      <c r="N131" s="31">
        <f>AR131+MIN(X130+AH131-AR131,MAX(0,ROUND(ROUND(Долги!$D$19-SUM($AL131:$AU131),2)-(SUM($H131:M131)-SUM($AL131:AQ131)),2)))</f>
        <v>0.0</v>
      </c>
      <c r="O131" s="31">
        <f>AS131+MIN(Y130+AI131-AS131,MAX(0,ROUND(ROUND(Долги!$D$19-SUM($AL131:$AU131),2)-(SUM($H131:N131)-SUM($AL131:AR131)),2)))</f>
        <v>0.0</v>
      </c>
      <c r="P131" s="31">
        <f>AT131+MIN(Z130+AJ131-AT131,MAX(0,ROUND(ROUND(Долги!$D$19-SUM($AL131:$AU131),2)-(SUM($H131:O131)-SUM($AL131:AS131)),2)))</f>
        <v>0.0</v>
      </c>
      <c r="Q131" s="31">
        <f>AU131+MIN(AA130+AK131-AU131,MAX(0,ROUND(ROUND(Долги!$D$19-SUM($AL131:$AU131),2)-(SUM($H131:P131)-SUM($AL131:AT131)),2)))</f>
        <v>0.0</v>
      </c>
      <c r="R131" s="31">
        <f>IF(R130+AB131-H131&lt;=0.01,0,ROUND(R130+AB131-H131,2))</f>
        <v>0.0</v>
      </c>
      <c r="S131" s="31">
        <f>IF(S130+AC131-I131&lt;=0.01,0,ROUND(S130+AC131-I131,2))</f>
        <v>0.0</v>
      </c>
      <c r="T131" s="31">
        <f>IF(T130+AD131-J131&lt;=0.01,0,ROUND(T130+AD131-J131,2))</f>
        <v>0.0</v>
      </c>
      <c r="U131" s="31">
        <f>IF(U130+AE131-K131&lt;=0.01,0,ROUND(U130+AE131-K131,2))</f>
        <v>0.0</v>
      </c>
      <c r="V131" s="31">
        <f>IF(V130+AF131-L131&lt;=0.01,0,ROUND(V130+AF131-L131,2))</f>
        <v>0.0</v>
      </c>
      <c r="W131" s="31">
        <f>IF(W130+AG131-M131&lt;=0.01,0,ROUND(W130+AG131-M131,2))</f>
        <v>0.0</v>
      </c>
      <c r="X131" s="31">
        <f>IF(X130+AH131-N131&lt;=0.01,0,ROUND(X130+AH131-N131,2))</f>
        <v>0.0</v>
      </c>
      <c r="Y131" s="31">
        <f>IF(Y130+AI131-O131&lt;=0.01,0,ROUND(Y130+AI131-O131,2))</f>
        <v>0.0</v>
      </c>
      <c r="Z131" s="31">
        <f>IF(Z130+AJ131-P131&lt;=0.01,0,ROUND(Z130+AJ131-P131,2))</f>
        <v>0.0</v>
      </c>
      <c r="AA131" s="31">
        <f>IF(AA130+AK131-Q131&lt;=0.01,0,ROUND(AA130+AK131-Q131,2))</f>
        <v>0.0</v>
      </c>
      <c r="AB131" s="31">
        <f>ROUND(R130*AB$5/1200,2)</f>
        <v>0.0</v>
      </c>
      <c r="AC131" s="31">
        <f>ROUND(S130*AC$5/1200,2)</f>
        <v>0.0</v>
      </c>
      <c r="AD131" s="31">
        <f>ROUND(T130*AD$5/1200,2)</f>
        <v>0.0</v>
      </c>
      <c r="AE131" s="31">
        <f>ROUND(U130*AE$5/1200,2)</f>
        <v>0.0</v>
      </c>
      <c r="AF131" s="31">
        <f>ROUND(V130*AF$5/1200,2)</f>
        <v>0.0</v>
      </c>
      <c r="AG131" s="31">
        <f>ROUND(W130*AG$5/1200,2)</f>
        <v>0.0</v>
      </c>
      <c r="AH131" s="31">
        <f>ROUND(X130*AH$5/1200,2)</f>
        <v>0.0</v>
      </c>
      <c r="AI131" s="31">
        <f>ROUND(Y130*AI$5/1200,2)</f>
        <v>0.0</v>
      </c>
      <c r="AJ131" s="31">
        <f>ROUND(Z130*AJ$5/1200,2)</f>
        <v>0.0</v>
      </c>
      <c r="AK131" s="31">
        <f>ROUND(AA130*AK$5/1200,2)</f>
        <v>0.0</v>
      </c>
      <c r="AL131" s="31">
        <f>MIN(AL$5,R130+AB131)</f>
        <v>0.0</v>
      </c>
      <c r="AM131" s="31">
        <f>MIN(AM$5,S130+AC131)</f>
        <v>0.0</v>
      </c>
      <c r="AN131" s="31">
        <f>MIN(AN$5,T130+AD131)</f>
        <v>0.0</v>
      </c>
      <c r="AO131" s="31">
        <f>MIN(AO$5,U130+AE131)</f>
        <v>0.0</v>
      </c>
      <c r="AP131" s="31">
        <f>MIN(AP$5,V130+AF131)</f>
        <v>0.0</v>
      </c>
      <c r="AQ131" s="31">
        <f>MIN(AQ$5,W130+AG131)</f>
        <v>0.0</v>
      </c>
      <c r="AR131" s="31">
        <f>MIN(AR$5,X130+AH131)</f>
        <v>0.0</v>
      </c>
      <c r="AS131" s="31">
        <f>MIN(AS$5,Y130+AI131)</f>
        <v>0.0</v>
      </c>
      <c r="AT131" s="31">
        <f>MIN(AT$5,Z130+AJ131)</f>
        <v>0.0</v>
      </c>
      <c r="AU131" s="31">
        <f>MIN(AU$5,AA130+AK131)</f>
        <v>0.0</v>
      </c>
    </row>
    <row r="132">
      <c r="A132" s="25" t="str">
        <f>IF(F131&gt;0.005,127,"")</f>
        <v/>
      </c>
      <c r="B132" s="33" t="str">
        <f>IF(A132="","",EDATE(Долги!$D$5,126))</f>
        <v/>
      </c>
      <c r="C132" s="31">
        <f>SUM(H132:Q132)</f>
        <v>0.0</v>
      </c>
      <c r="D132" s="31">
        <f>SUM(AB132:AK132)</f>
        <v>0.0</v>
      </c>
      <c r="E132" s="31">
        <f>C132-D132</f>
        <v>0.0</v>
      </c>
      <c r="F132" s="31">
        <f>SUM(R132:AA132)</f>
        <v>0.0</v>
      </c>
      <c r="G132" s="34" t="str">
        <f>IF(OR(A132="",$F$5&lt;=0),"",REPT("█",ROUND(20*F132/$F$5,0)))</f>
        <v/>
      </c>
      <c r="H132" s="31">
        <f>AL132+MIN(R131+AB132-AL132,MAX(0,ROUND(Долги!$D$19-SUM($AL132:$AU132),2)))</f>
        <v>0.0</v>
      </c>
      <c r="I132" s="31">
        <f>AM132+MIN(S131+AC132-AM132,MAX(0,ROUND(ROUND(Долги!$D$19-SUM($AL132:$AU132),2)-(SUM($H132:H132)-SUM($AL132:AL132)),2)))</f>
        <v>0.0</v>
      </c>
      <c r="J132" s="31">
        <f>AN132+MIN(T131+AD132-AN132,MAX(0,ROUND(ROUND(Долги!$D$19-SUM($AL132:$AU132),2)-(SUM($H132:I132)-SUM($AL132:AM132)),2)))</f>
        <v>0.0</v>
      </c>
      <c r="K132" s="31">
        <f>AO132+MIN(U131+AE132-AO132,MAX(0,ROUND(ROUND(Долги!$D$19-SUM($AL132:$AU132),2)-(SUM($H132:J132)-SUM($AL132:AN132)),2)))</f>
        <v>0.0</v>
      </c>
      <c r="L132" s="31">
        <f>AP132+MIN(V131+AF132-AP132,MAX(0,ROUND(ROUND(Долги!$D$19-SUM($AL132:$AU132),2)-(SUM($H132:K132)-SUM($AL132:AO132)),2)))</f>
        <v>0.0</v>
      </c>
      <c r="M132" s="31">
        <f>AQ132+MIN(W131+AG132-AQ132,MAX(0,ROUND(ROUND(Долги!$D$19-SUM($AL132:$AU132),2)-(SUM($H132:L132)-SUM($AL132:AP132)),2)))</f>
        <v>0.0</v>
      </c>
      <c r="N132" s="31">
        <f>AR132+MIN(X131+AH132-AR132,MAX(0,ROUND(ROUND(Долги!$D$19-SUM($AL132:$AU132),2)-(SUM($H132:M132)-SUM($AL132:AQ132)),2)))</f>
        <v>0.0</v>
      </c>
      <c r="O132" s="31">
        <f>AS132+MIN(Y131+AI132-AS132,MAX(0,ROUND(ROUND(Долги!$D$19-SUM($AL132:$AU132),2)-(SUM($H132:N132)-SUM($AL132:AR132)),2)))</f>
        <v>0.0</v>
      </c>
      <c r="P132" s="31">
        <f>AT132+MIN(Z131+AJ132-AT132,MAX(0,ROUND(ROUND(Долги!$D$19-SUM($AL132:$AU132),2)-(SUM($H132:O132)-SUM($AL132:AS132)),2)))</f>
        <v>0.0</v>
      </c>
      <c r="Q132" s="31">
        <f>AU132+MIN(AA131+AK132-AU132,MAX(0,ROUND(ROUND(Долги!$D$19-SUM($AL132:$AU132),2)-(SUM($H132:P132)-SUM($AL132:AT132)),2)))</f>
        <v>0.0</v>
      </c>
      <c r="R132" s="31">
        <f>IF(R131+AB132-H132&lt;=0.01,0,ROUND(R131+AB132-H132,2))</f>
        <v>0.0</v>
      </c>
      <c r="S132" s="31">
        <f>IF(S131+AC132-I132&lt;=0.01,0,ROUND(S131+AC132-I132,2))</f>
        <v>0.0</v>
      </c>
      <c r="T132" s="31">
        <f>IF(T131+AD132-J132&lt;=0.01,0,ROUND(T131+AD132-J132,2))</f>
        <v>0.0</v>
      </c>
      <c r="U132" s="31">
        <f>IF(U131+AE132-K132&lt;=0.01,0,ROUND(U131+AE132-K132,2))</f>
        <v>0.0</v>
      </c>
      <c r="V132" s="31">
        <f>IF(V131+AF132-L132&lt;=0.01,0,ROUND(V131+AF132-L132,2))</f>
        <v>0.0</v>
      </c>
      <c r="W132" s="31">
        <f>IF(W131+AG132-M132&lt;=0.01,0,ROUND(W131+AG132-M132,2))</f>
        <v>0.0</v>
      </c>
      <c r="X132" s="31">
        <f>IF(X131+AH132-N132&lt;=0.01,0,ROUND(X131+AH132-N132,2))</f>
        <v>0.0</v>
      </c>
      <c r="Y132" s="31">
        <f>IF(Y131+AI132-O132&lt;=0.01,0,ROUND(Y131+AI132-O132,2))</f>
        <v>0.0</v>
      </c>
      <c r="Z132" s="31">
        <f>IF(Z131+AJ132-P132&lt;=0.01,0,ROUND(Z131+AJ132-P132,2))</f>
        <v>0.0</v>
      </c>
      <c r="AA132" s="31">
        <f>IF(AA131+AK132-Q132&lt;=0.01,0,ROUND(AA131+AK132-Q132,2))</f>
        <v>0.0</v>
      </c>
      <c r="AB132" s="31">
        <f>ROUND(R131*AB$5/1200,2)</f>
        <v>0.0</v>
      </c>
      <c r="AC132" s="31">
        <f>ROUND(S131*AC$5/1200,2)</f>
        <v>0.0</v>
      </c>
      <c r="AD132" s="31">
        <f>ROUND(T131*AD$5/1200,2)</f>
        <v>0.0</v>
      </c>
      <c r="AE132" s="31">
        <f>ROUND(U131*AE$5/1200,2)</f>
        <v>0.0</v>
      </c>
      <c r="AF132" s="31">
        <f>ROUND(V131*AF$5/1200,2)</f>
        <v>0.0</v>
      </c>
      <c r="AG132" s="31">
        <f>ROUND(W131*AG$5/1200,2)</f>
        <v>0.0</v>
      </c>
      <c r="AH132" s="31">
        <f>ROUND(X131*AH$5/1200,2)</f>
        <v>0.0</v>
      </c>
      <c r="AI132" s="31">
        <f>ROUND(Y131*AI$5/1200,2)</f>
        <v>0.0</v>
      </c>
      <c r="AJ132" s="31">
        <f>ROUND(Z131*AJ$5/1200,2)</f>
        <v>0.0</v>
      </c>
      <c r="AK132" s="31">
        <f>ROUND(AA131*AK$5/1200,2)</f>
        <v>0.0</v>
      </c>
      <c r="AL132" s="31">
        <f>MIN(AL$5,R131+AB132)</f>
        <v>0.0</v>
      </c>
      <c r="AM132" s="31">
        <f>MIN(AM$5,S131+AC132)</f>
        <v>0.0</v>
      </c>
      <c r="AN132" s="31">
        <f>MIN(AN$5,T131+AD132)</f>
        <v>0.0</v>
      </c>
      <c r="AO132" s="31">
        <f>MIN(AO$5,U131+AE132)</f>
        <v>0.0</v>
      </c>
      <c r="AP132" s="31">
        <f>MIN(AP$5,V131+AF132)</f>
        <v>0.0</v>
      </c>
      <c r="AQ132" s="31">
        <f>MIN(AQ$5,W131+AG132)</f>
        <v>0.0</v>
      </c>
      <c r="AR132" s="31">
        <f>MIN(AR$5,X131+AH132)</f>
        <v>0.0</v>
      </c>
      <c r="AS132" s="31">
        <f>MIN(AS$5,Y131+AI132)</f>
        <v>0.0</v>
      </c>
      <c r="AT132" s="31">
        <f>MIN(AT$5,Z131+AJ132)</f>
        <v>0.0</v>
      </c>
      <c r="AU132" s="31">
        <f>MIN(AU$5,AA131+AK132)</f>
        <v>0.0</v>
      </c>
    </row>
    <row r="133">
      <c r="A133" s="25" t="str">
        <f>IF(F132&gt;0.005,128,"")</f>
        <v/>
      </c>
      <c r="B133" s="33" t="str">
        <f>IF(A133="","",EDATE(Долги!$D$5,127))</f>
        <v/>
      </c>
      <c r="C133" s="31">
        <f>SUM(H133:Q133)</f>
        <v>0.0</v>
      </c>
      <c r="D133" s="31">
        <f>SUM(AB133:AK133)</f>
        <v>0.0</v>
      </c>
      <c r="E133" s="31">
        <f>C133-D133</f>
        <v>0.0</v>
      </c>
      <c r="F133" s="31">
        <f>SUM(R133:AA133)</f>
        <v>0.0</v>
      </c>
      <c r="G133" s="34" t="str">
        <f>IF(OR(A133="",$F$5&lt;=0),"",REPT("█",ROUND(20*F133/$F$5,0)))</f>
        <v/>
      </c>
      <c r="H133" s="31">
        <f>AL133+MIN(R132+AB133-AL133,MAX(0,ROUND(Долги!$D$19-SUM($AL133:$AU133),2)))</f>
        <v>0.0</v>
      </c>
      <c r="I133" s="31">
        <f>AM133+MIN(S132+AC133-AM133,MAX(0,ROUND(ROUND(Долги!$D$19-SUM($AL133:$AU133),2)-(SUM($H133:H133)-SUM($AL133:AL133)),2)))</f>
        <v>0.0</v>
      </c>
      <c r="J133" s="31">
        <f>AN133+MIN(T132+AD133-AN133,MAX(0,ROUND(ROUND(Долги!$D$19-SUM($AL133:$AU133),2)-(SUM($H133:I133)-SUM($AL133:AM133)),2)))</f>
        <v>0.0</v>
      </c>
      <c r="K133" s="31">
        <f>AO133+MIN(U132+AE133-AO133,MAX(0,ROUND(ROUND(Долги!$D$19-SUM($AL133:$AU133),2)-(SUM($H133:J133)-SUM($AL133:AN133)),2)))</f>
        <v>0.0</v>
      </c>
      <c r="L133" s="31">
        <f>AP133+MIN(V132+AF133-AP133,MAX(0,ROUND(ROUND(Долги!$D$19-SUM($AL133:$AU133),2)-(SUM($H133:K133)-SUM($AL133:AO133)),2)))</f>
        <v>0.0</v>
      </c>
      <c r="M133" s="31">
        <f>AQ133+MIN(W132+AG133-AQ133,MAX(0,ROUND(ROUND(Долги!$D$19-SUM($AL133:$AU133),2)-(SUM($H133:L133)-SUM($AL133:AP133)),2)))</f>
        <v>0.0</v>
      </c>
      <c r="N133" s="31">
        <f>AR133+MIN(X132+AH133-AR133,MAX(0,ROUND(ROUND(Долги!$D$19-SUM($AL133:$AU133),2)-(SUM($H133:M133)-SUM($AL133:AQ133)),2)))</f>
        <v>0.0</v>
      </c>
      <c r="O133" s="31">
        <f>AS133+MIN(Y132+AI133-AS133,MAX(0,ROUND(ROUND(Долги!$D$19-SUM($AL133:$AU133),2)-(SUM($H133:N133)-SUM($AL133:AR133)),2)))</f>
        <v>0.0</v>
      </c>
      <c r="P133" s="31">
        <f>AT133+MIN(Z132+AJ133-AT133,MAX(0,ROUND(ROUND(Долги!$D$19-SUM($AL133:$AU133),2)-(SUM($H133:O133)-SUM($AL133:AS133)),2)))</f>
        <v>0.0</v>
      </c>
      <c r="Q133" s="31">
        <f>AU133+MIN(AA132+AK133-AU133,MAX(0,ROUND(ROUND(Долги!$D$19-SUM($AL133:$AU133),2)-(SUM($H133:P133)-SUM($AL133:AT133)),2)))</f>
        <v>0.0</v>
      </c>
      <c r="R133" s="31">
        <f>IF(R132+AB133-H133&lt;=0.01,0,ROUND(R132+AB133-H133,2))</f>
        <v>0.0</v>
      </c>
      <c r="S133" s="31">
        <f>IF(S132+AC133-I133&lt;=0.01,0,ROUND(S132+AC133-I133,2))</f>
        <v>0.0</v>
      </c>
      <c r="T133" s="31">
        <f>IF(T132+AD133-J133&lt;=0.01,0,ROUND(T132+AD133-J133,2))</f>
        <v>0.0</v>
      </c>
      <c r="U133" s="31">
        <f>IF(U132+AE133-K133&lt;=0.01,0,ROUND(U132+AE133-K133,2))</f>
        <v>0.0</v>
      </c>
      <c r="V133" s="31">
        <f>IF(V132+AF133-L133&lt;=0.01,0,ROUND(V132+AF133-L133,2))</f>
        <v>0.0</v>
      </c>
      <c r="W133" s="31">
        <f>IF(W132+AG133-M133&lt;=0.01,0,ROUND(W132+AG133-M133,2))</f>
        <v>0.0</v>
      </c>
      <c r="X133" s="31">
        <f>IF(X132+AH133-N133&lt;=0.01,0,ROUND(X132+AH133-N133,2))</f>
        <v>0.0</v>
      </c>
      <c r="Y133" s="31">
        <f>IF(Y132+AI133-O133&lt;=0.01,0,ROUND(Y132+AI133-O133,2))</f>
        <v>0.0</v>
      </c>
      <c r="Z133" s="31">
        <f>IF(Z132+AJ133-P133&lt;=0.01,0,ROUND(Z132+AJ133-P133,2))</f>
        <v>0.0</v>
      </c>
      <c r="AA133" s="31">
        <f>IF(AA132+AK133-Q133&lt;=0.01,0,ROUND(AA132+AK133-Q133,2))</f>
        <v>0.0</v>
      </c>
      <c r="AB133" s="31">
        <f>ROUND(R132*AB$5/1200,2)</f>
        <v>0.0</v>
      </c>
      <c r="AC133" s="31">
        <f>ROUND(S132*AC$5/1200,2)</f>
        <v>0.0</v>
      </c>
      <c r="AD133" s="31">
        <f>ROUND(T132*AD$5/1200,2)</f>
        <v>0.0</v>
      </c>
      <c r="AE133" s="31">
        <f>ROUND(U132*AE$5/1200,2)</f>
        <v>0.0</v>
      </c>
      <c r="AF133" s="31">
        <f>ROUND(V132*AF$5/1200,2)</f>
        <v>0.0</v>
      </c>
      <c r="AG133" s="31">
        <f>ROUND(W132*AG$5/1200,2)</f>
        <v>0.0</v>
      </c>
      <c r="AH133" s="31">
        <f>ROUND(X132*AH$5/1200,2)</f>
        <v>0.0</v>
      </c>
      <c r="AI133" s="31">
        <f>ROUND(Y132*AI$5/1200,2)</f>
        <v>0.0</v>
      </c>
      <c r="AJ133" s="31">
        <f>ROUND(Z132*AJ$5/1200,2)</f>
        <v>0.0</v>
      </c>
      <c r="AK133" s="31">
        <f>ROUND(AA132*AK$5/1200,2)</f>
        <v>0.0</v>
      </c>
      <c r="AL133" s="31">
        <f>MIN(AL$5,R132+AB133)</f>
        <v>0.0</v>
      </c>
      <c r="AM133" s="31">
        <f>MIN(AM$5,S132+AC133)</f>
        <v>0.0</v>
      </c>
      <c r="AN133" s="31">
        <f>MIN(AN$5,T132+AD133)</f>
        <v>0.0</v>
      </c>
      <c r="AO133" s="31">
        <f>MIN(AO$5,U132+AE133)</f>
        <v>0.0</v>
      </c>
      <c r="AP133" s="31">
        <f>MIN(AP$5,V132+AF133)</f>
        <v>0.0</v>
      </c>
      <c r="AQ133" s="31">
        <f>MIN(AQ$5,W132+AG133)</f>
        <v>0.0</v>
      </c>
      <c r="AR133" s="31">
        <f>MIN(AR$5,X132+AH133)</f>
        <v>0.0</v>
      </c>
      <c r="AS133" s="31">
        <f>MIN(AS$5,Y132+AI133)</f>
        <v>0.0</v>
      </c>
      <c r="AT133" s="31">
        <f>MIN(AT$5,Z132+AJ133)</f>
        <v>0.0</v>
      </c>
      <c r="AU133" s="31">
        <f>MIN(AU$5,AA132+AK133)</f>
        <v>0.0</v>
      </c>
    </row>
    <row r="134">
      <c r="A134" s="25" t="str">
        <f>IF(F133&gt;0.005,129,"")</f>
        <v/>
      </c>
      <c r="B134" s="33" t="str">
        <f>IF(A134="","",EDATE(Долги!$D$5,128))</f>
        <v/>
      </c>
      <c r="C134" s="31">
        <f>SUM(H134:Q134)</f>
        <v>0.0</v>
      </c>
      <c r="D134" s="31">
        <f>SUM(AB134:AK134)</f>
        <v>0.0</v>
      </c>
      <c r="E134" s="31">
        <f>C134-D134</f>
        <v>0.0</v>
      </c>
      <c r="F134" s="31">
        <f>SUM(R134:AA134)</f>
        <v>0.0</v>
      </c>
      <c r="G134" s="34" t="str">
        <f>IF(OR(A134="",$F$5&lt;=0),"",REPT("█",ROUND(20*F134/$F$5,0)))</f>
        <v/>
      </c>
      <c r="H134" s="31">
        <f>AL134+MIN(R133+AB134-AL134,MAX(0,ROUND(Долги!$D$19-SUM($AL134:$AU134),2)))</f>
        <v>0.0</v>
      </c>
      <c r="I134" s="31">
        <f>AM134+MIN(S133+AC134-AM134,MAX(0,ROUND(ROUND(Долги!$D$19-SUM($AL134:$AU134),2)-(SUM($H134:H134)-SUM($AL134:AL134)),2)))</f>
        <v>0.0</v>
      </c>
      <c r="J134" s="31">
        <f>AN134+MIN(T133+AD134-AN134,MAX(0,ROUND(ROUND(Долги!$D$19-SUM($AL134:$AU134),2)-(SUM($H134:I134)-SUM($AL134:AM134)),2)))</f>
        <v>0.0</v>
      </c>
      <c r="K134" s="31">
        <f>AO134+MIN(U133+AE134-AO134,MAX(0,ROUND(ROUND(Долги!$D$19-SUM($AL134:$AU134),2)-(SUM($H134:J134)-SUM($AL134:AN134)),2)))</f>
        <v>0.0</v>
      </c>
      <c r="L134" s="31">
        <f>AP134+MIN(V133+AF134-AP134,MAX(0,ROUND(ROUND(Долги!$D$19-SUM($AL134:$AU134),2)-(SUM($H134:K134)-SUM($AL134:AO134)),2)))</f>
        <v>0.0</v>
      </c>
      <c r="M134" s="31">
        <f>AQ134+MIN(W133+AG134-AQ134,MAX(0,ROUND(ROUND(Долги!$D$19-SUM($AL134:$AU134),2)-(SUM($H134:L134)-SUM($AL134:AP134)),2)))</f>
        <v>0.0</v>
      </c>
      <c r="N134" s="31">
        <f>AR134+MIN(X133+AH134-AR134,MAX(0,ROUND(ROUND(Долги!$D$19-SUM($AL134:$AU134),2)-(SUM($H134:M134)-SUM($AL134:AQ134)),2)))</f>
        <v>0.0</v>
      </c>
      <c r="O134" s="31">
        <f>AS134+MIN(Y133+AI134-AS134,MAX(0,ROUND(ROUND(Долги!$D$19-SUM($AL134:$AU134),2)-(SUM($H134:N134)-SUM($AL134:AR134)),2)))</f>
        <v>0.0</v>
      </c>
      <c r="P134" s="31">
        <f>AT134+MIN(Z133+AJ134-AT134,MAX(0,ROUND(ROUND(Долги!$D$19-SUM($AL134:$AU134),2)-(SUM($H134:O134)-SUM($AL134:AS134)),2)))</f>
        <v>0.0</v>
      </c>
      <c r="Q134" s="31">
        <f>AU134+MIN(AA133+AK134-AU134,MAX(0,ROUND(ROUND(Долги!$D$19-SUM($AL134:$AU134),2)-(SUM($H134:P134)-SUM($AL134:AT134)),2)))</f>
        <v>0.0</v>
      </c>
      <c r="R134" s="31">
        <f>IF(R133+AB134-H134&lt;=0.01,0,ROUND(R133+AB134-H134,2))</f>
        <v>0.0</v>
      </c>
      <c r="S134" s="31">
        <f>IF(S133+AC134-I134&lt;=0.01,0,ROUND(S133+AC134-I134,2))</f>
        <v>0.0</v>
      </c>
      <c r="T134" s="31">
        <f>IF(T133+AD134-J134&lt;=0.01,0,ROUND(T133+AD134-J134,2))</f>
        <v>0.0</v>
      </c>
      <c r="U134" s="31">
        <f>IF(U133+AE134-K134&lt;=0.01,0,ROUND(U133+AE134-K134,2))</f>
        <v>0.0</v>
      </c>
      <c r="V134" s="31">
        <f>IF(V133+AF134-L134&lt;=0.01,0,ROUND(V133+AF134-L134,2))</f>
        <v>0.0</v>
      </c>
      <c r="W134" s="31">
        <f>IF(W133+AG134-M134&lt;=0.01,0,ROUND(W133+AG134-M134,2))</f>
        <v>0.0</v>
      </c>
      <c r="X134" s="31">
        <f>IF(X133+AH134-N134&lt;=0.01,0,ROUND(X133+AH134-N134,2))</f>
        <v>0.0</v>
      </c>
      <c r="Y134" s="31">
        <f>IF(Y133+AI134-O134&lt;=0.01,0,ROUND(Y133+AI134-O134,2))</f>
        <v>0.0</v>
      </c>
      <c r="Z134" s="31">
        <f>IF(Z133+AJ134-P134&lt;=0.01,0,ROUND(Z133+AJ134-P134,2))</f>
        <v>0.0</v>
      </c>
      <c r="AA134" s="31">
        <f>IF(AA133+AK134-Q134&lt;=0.01,0,ROUND(AA133+AK134-Q134,2))</f>
        <v>0.0</v>
      </c>
      <c r="AB134" s="31">
        <f>ROUND(R133*AB$5/1200,2)</f>
        <v>0.0</v>
      </c>
      <c r="AC134" s="31">
        <f>ROUND(S133*AC$5/1200,2)</f>
        <v>0.0</v>
      </c>
      <c r="AD134" s="31">
        <f>ROUND(T133*AD$5/1200,2)</f>
        <v>0.0</v>
      </c>
      <c r="AE134" s="31">
        <f>ROUND(U133*AE$5/1200,2)</f>
        <v>0.0</v>
      </c>
      <c r="AF134" s="31">
        <f>ROUND(V133*AF$5/1200,2)</f>
        <v>0.0</v>
      </c>
      <c r="AG134" s="31">
        <f>ROUND(W133*AG$5/1200,2)</f>
        <v>0.0</v>
      </c>
      <c r="AH134" s="31">
        <f>ROUND(X133*AH$5/1200,2)</f>
        <v>0.0</v>
      </c>
      <c r="AI134" s="31">
        <f>ROUND(Y133*AI$5/1200,2)</f>
        <v>0.0</v>
      </c>
      <c r="AJ134" s="31">
        <f>ROUND(Z133*AJ$5/1200,2)</f>
        <v>0.0</v>
      </c>
      <c r="AK134" s="31">
        <f>ROUND(AA133*AK$5/1200,2)</f>
        <v>0.0</v>
      </c>
      <c r="AL134" s="31">
        <f>MIN(AL$5,R133+AB134)</f>
        <v>0.0</v>
      </c>
      <c r="AM134" s="31">
        <f>MIN(AM$5,S133+AC134)</f>
        <v>0.0</v>
      </c>
      <c r="AN134" s="31">
        <f>MIN(AN$5,T133+AD134)</f>
        <v>0.0</v>
      </c>
      <c r="AO134" s="31">
        <f>MIN(AO$5,U133+AE134)</f>
        <v>0.0</v>
      </c>
      <c r="AP134" s="31">
        <f>MIN(AP$5,V133+AF134)</f>
        <v>0.0</v>
      </c>
      <c r="AQ134" s="31">
        <f>MIN(AQ$5,W133+AG134)</f>
        <v>0.0</v>
      </c>
      <c r="AR134" s="31">
        <f>MIN(AR$5,X133+AH134)</f>
        <v>0.0</v>
      </c>
      <c r="AS134" s="31">
        <f>MIN(AS$5,Y133+AI134)</f>
        <v>0.0</v>
      </c>
      <c r="AT134" s="31">
        <f>MIN(AT$5,Z133+AJ134)</f>
        <v>0.0</v>
      </c>
      <c r="AU134" s="31">
        <f>MIN(AU$5,AA133+AK134)</f>
        <v>0.0</v>
      </c>
    </row>
    <row r="135">
      <c r="A135" s="25" t="str">
        <f>IF(F134&gt;0.005,130,"")</f>
        <v/>
      </c>
      <c r="B135" s="33" t="str">
        <f>IF(A135="","",EDATE(Долги!$D$5,129))</f>
        <v/>
      </c>
      <c r="C135" s="31">
        <f>SUM(H135:Q135)</f>
        <v>0.0</v>
      </c>
      <c r="D135" s="31">
        <f>SUM(AB135:AK135)</f>
        <v>0.0</v>
      </c>
      <c r="E135" s="31">
        <f>C135-D135</f>
        <v>0.0</v>
      </c>
      <c r="F135" s="31">
        <f>SUM(R135:AA135)</f>
        <v>0.0</v>
      </c>
      <c r="G135" s="34" t="str">
        <f>IF(OR(A135="",$F$5&lt;=0),"",REPT("█",ROUND(20*F135/$F$5,0)))</f>
        <v/>
      </c>
      <c r="H135" s="31">
        <f>AL135+MIN(R134+AB135-AL135,MAX(0,ROUND(Долги!$D$19-SUM($AL135:$AU135),2)))</f>
        <v>0.0</v>
      </c>
      <c r="I135" s="31">
        <f>AM135+MIN(S134+AC135-AM135,MAX(0,ROUND(ROUND(Долги!$D$19-SUM($AL135:$AU135),2)-(SUM($H135:H135)-SUM($AL135:AL135)),2)))</f>
        <v>0.0</v>
      </c>
      <c r="J135" s="31">
        <f>AN135+MIN(T134+AD135-AN135,MAX(0,ROUND(ROUND(Долги!$D$19-SUM($AL135:$AU135),2)-(SUM($H135:I135)-SUM($AL135:AM135)),2)))</f>
        <v>0.0</v>
      </c>
      <c r="K135" s="31">
        <f>AO135+MIN(U134+AE135-AO135,MAX(0,ROUND(ROUND(Долги!$D$19-SUM($AL135:$AU135),2)-(SUM($H135:J135)-SUM($AL135:AN135)),2)))</f>
        <v>0.0</v>
      </c>
      <c r="L135" s="31">
        <f>AP135+MIN(V134+AF135-AP135,MAX(0,ROUND(ROUND(Долги!$D$19-SUM($AL135:$AU135),2)-(SUM($H135:K135)-SUM($AL135:AO135)),2)))</f>
        <v>0.0</v>
      </c>
      <c r="M135" s="31">
        <f>AQ135+MIN(W134+AG135-AQ135,MAX(0,ROUND(ROUND(Долги!$D$19-SUM($AL135:$AU135),2)-(SUM($H135:L135)-SUM($AL135:AP135)),2)))</f>
        <v>0.0</v>
      </c>
      <c r="N135" s="31">
        <f>AR135+MIN(X134+AH135-AR135,MAX(0,ROUND(ROUND(Долги!$D$19-SUM($AL135:$AU135),2)-(SUM($H135:M135)-SUM($AL135:AQ135)),2)))</f>
        <v>0.0</v>
      </c>
      <c r="O135" s="31">
        <f>AS135+MIN(Y134+AI135-AS135,MAX(0,ROUND(ROUND(Долги!$D$19-SUM($AL135:$AU135),2)-(SUM($H135:N135)-SUM($AL135:AR135)),2)))</f>
        <v>0.0</v>
      </c>
      <c r="P135" s="31">
        <f>AT135+MIN(Z134+AJ135-AT135,MAX(0,ROUND(ROUND(Долги!$D$19-SUM($AL135:$AU135),2)-(SUM($H135:O135)-SUM($AL135:AS135)),2)))</f>
        <v>0.0</v>
      </c>
      <c r="Q135" s="31">
        <f>AU135+MIN(AA134+AK135-AU135,MAX(0,ROUND(ROUND(Долги!$D$19-SUM($AL135:$AU135),2)-(SUM($H135:P135)-SUM($AL135:AT135)),2)))</f>
        <v>0.0</v>
      </c>
      <c r="R135" s="31">
        <f>IF(R134+AB135-H135&lt;=0.01,0,ROUND(R134+AB135-H135,2))</f>
        <v>0.0</v>
      </c>
      <c r="S135" s="31">
        <f>IF(S134+AC135-I135&lt;=0.01,0,ROUND(S134+AC135-I135,2))</f>
        <v>0.0</v>
      </c>
      <c r="T135" s="31">
        <f>IF(T134+AD135-J135&lt;=0.01,0,ROUND(T134+AD135-J135,2))</f>
        <v>0.0</v>
      </c>
      <c r="U135" s="31">
        <f>IF(U134+AE135-K135&lt;=0.01,0,ROUND(U134+AE135-K135,2))</f>
        <v>0.0</v>
      </c>
      <c r="V135" s="31">
        <f>IF(V134+AF135-L135&lt;=0.01,0,ROUND(V134+AF135-L135,2))</f>
        <v>0.0</v>
      </c>
      <c r="W135" s="31">
        <f>IF(W134+AG135-M135&lt;=0.01,0,ROUND(W134+AG135-M135,2))</f>
        <v>0.0</v>
      </c>
      <c r="X135" s="31">
        <f>IF(X134+AH135-N135&lt;=0.01,0,ROUND(X134+AH135-N135,2))</f>
        <v>0.0</v>
      </c>
      <c r="Y135" s="31">
        <f>IF(Y134+AI135-O135&lt;=0.01,0,ROUND(Y134+AI135-O135,2))</f>
        <v>0.0</v>
      </c>
      <c r="Z135" s="31">
        <f>IF(Z134+AJ135-P135&lt;=0.01,0,ROUND(Z134+AJ135-P135,2))</f>
        <v>0.0</v>
      </c>
      <c r="AA135" s="31">
        <f>IF(AA134+AK135-Q135&lt;=0.01,0,ROUND(AA134+AK135-Q135,2))</f>
        <v>0.0</v>
      </c>
      <c r="AB135" s="31">
        <f>ROUND(R134*AB$5/1200,2)</f>
        <v>0.0</v>
      </c>
      <c r="AC135" s="31">
        <f>ROUND(S134*AC$5/1200,2)</f>
        <v>0.0</v>
      </c>
      <c r="AD135" s="31">
        <f>ROUND(T134*AD$5/1200,2)</f>
        <v>0.0</v>
      </c>
      <c r="AE135" s="31">
        <f>ROUND(U134*AE$5/1200,2)</f>
        <v>0.0</v>
      </c>
      <c r="AF135" s="31">
        <f>ROUND(V134*AF$5/1200,2)</f>
        <v>0.0</v>
      </c>
      <c r="AG135" s="31">
        <f>ROUND(W134*AG$5/1200,2)</f>
        <v>0.0</v>
      </c>
      <c r="AH135" s="31">
        <f>ROUND(X134*AH$5/1200,2)</f>
        <v>0.0</v>
      </c>
      <c r="AI135" s="31">
        <f>ROUND(Y134*AI$5/1200,2)</f>
        <v>0.0</v>
      </c>
      <c r="AJ135" s="31">
        <f>ROUND(Z134*AJ$5/1200,2)</f>
        <v>0.0</v>
      </c>
      <c r="AK135" s="31">
        <f>ROUND(AA134*AK$5/1200,2)</f>
        <v>0.0</v>
      </c>
      <c r="AL135" s="31">
        <f>MIN(AL$5,R134+AB135)</f>
        <v>0.0</v>
      </c>
      <c r="AM135" s="31">
        <f>MIN(AM$5,S134+AC135)</f>
        <v>0.0</v>
      </c>
      <c r="AN135" s="31">
        <f>MIN(AN$5,T134+AD135)</f>
        <v>0.0</v>
      </c>
      <c r="AO135" s="31">
        <f>MIN(AO$5,U134+AE135)</f>
        <v>0.0</v>
      </c>
      <c r="AP135" s="31">
        <f>MIN(AP$5,V134+AF135)</f>
        <v>0.0</v>
      </c>
      <c r="AQ135" s="31">
        <f>MIN(AQ$5,W134+AG135)</f>
        <v>0.0</v>
      </c>
      <c r="AR135" s="31">
        <f>MIN(AR$5,X134+AH135)</f>
        <v>0.0</v>
      </c>
      <c r="AS135" s="31">
        <f>MIN(AS$5,Y134+AI135)</f>
        <v>0.0</v>
      </c>
      <c r="AT135" s="31">
        <f>MIN(AT$5,Z134+AJ135)</f>
        <v>0.0</v>
      </c>
      <c r="AU135" s="31">
        <f>MIN(AU$5,AA134+AK135)</f>
        <v>0.0</v>
      </c>
    </row>
    <row r="136">
      <c r="A136" s="25" t="str">
        <f>IF(F135&gt;0.005,131,"")</f>
        <v/>
      </c>
      <c r="B136" s="33" t="str">
        <f>IF(A136="","",EDATE(Долги!$D$5,130))</f>
        <v/>
      </c>
      <c r="C136" s="31">
        <f>SUM(H136:Q136)</f>
        <v>0.0</v>
      </c>
      <c r="D136" s="31">
        <f>SUM(AB136:AK136)</f>
        <v>0.0</v>
      </c>
      <c r="E136" s="31">
        <f>C136-D136</f>
        <v>0.0</v>
      </c>
      <c r="F136" s="31">
        <f>SUM(R136:AA136)</f>
        <v>0.0</v>
      </c>
      <c r="G136" s="34" t="str">
        <f>IF(OR(A136="",$F$5&lt;=0),"",REPT("█",ROUND(20*F136/$F$5,0)))</f>
        <v/>
      </c>
      <c r="H136" s="31">
        <f>AL136+MIN(R135+AB136-AL136,MAX(0,ROUND(Долги!$D$19-SUM($AL136:$AU136),2)))</f>
        <v>0.0</v>
      </c>
      <c r="I136" s="31">
        <f>AM136+MIN(S135+AC136-AM136,MAX(0,ROUND(ROUND(Долги!$D$19-SUM($AL136:$AU136),2)-(SUM($H136:H136)-SUM($AL136:AL136)),2)))</f>
        <v>0.0</v>
      </c>
      <c r="J136" s="31">
        <f>AN136+MIN(T135+AD136-AN136,MAX(0,ROUND(ROUND(Долги!$D$19-SUM($AL136:$AU136),2)-(SUM($H136:I136)-SUM($AL136:AM136)),2)))</f>
        <v>0.0</v>
      </c>
      <c r="K136" s="31">
        <f>AO136+MIN(U135+AE136-AO136,MAX(0,ROUND(ROUND(Долги!$D$19-SUM($AL136:$AU136),2)-(SUM($H136:J136)-SUM($AL136:AN136)),2)))</f>
        <v>0.0</v>
      </c>
      <c r="L136" s="31">
        <f>AP136+MIN(V135+AF136-AP136,MAX(0,ROUND(ROUND(Долги!$D$19-SUM($AL136:$AU136),2)-(SUM($H136:K136)-SUM($AL136:AO136)),2)))</f>
        <v>0.0</v>
      </c>
      <c r="M136" s="31">
        <f>AQ136+MIN(W135+AG136-AQ136,MAX(0,ROUND(ROUND(Долги!$D$19-SUM($AL136:$AU136),2)-(SUM($H136:L136)-SUM($AL136:AP136)),2)))</f>
        <v>0.0</v>
      </c>
      <c r="N136" s="31">
        <f>AR136+MIN(X135+AH136-AR136,MAX(0,ROUND(ROUND(Долги!$D$19-SUM($AL136:$AU136),2)-(SUM($H136:M136)-SUM($AL136:AQ136)),2)))</f>
        <v>0.0</v>
      </c>
      <c r="O136" s="31">
        <f>AS136+MIN(Y135+AI136-AS136,MAX(0,ROUND(ROUND(Долги!$D$19-SUM($AL136:$AU136),2)-(SUM($H136:N136)-SUM($AL136:AR136)),2)))</f>
        <v>0.0</v>
      </c>
      <c r="P136" s="31">
        <f>AT136+MIN(Z135+AJ136-AT136,MAX(0,ROUND(ROUND(Долги!$D$19-SUM($AL136:$AU136),2)-(SUM($H136:O136)-SUM($AL136:AS136)),2)))</f>
        <v>0.0</v>
      </c>
      <c r="Q136" s="31">
        <f>AU136+MIN(AA135+AK136-AU136,MAX(0,ROUND(ROUND(Долги!$D$19-SUM($AL136:$AU136),2)-(SUM($H136:P136)-SUM($AL136:AT136)),2)))</f>
        <v>0.0</v>
      </c>
      <c r="R136" s="31">
        <f>IF(R135+AB136-H136&lt;=0.01,0,ROUND(R135+AB136-H136,2))</f>
        <v>0.0</v>
      </c>
      <c r="S136" s="31">
        <f>IF(S135+AC136-I136&lt;=0.01,0,ROUND(S135+AC136-I136,2))</f>
        <v>0.0</v>
      </c>
      <c r="T136" s="31">
        <f>IF(T135+AD136-J136&lt;=0.01,0,ROUND(T135+AD136-J136,2))</f>
        <v>0.0</v>
      </c>
      <c r="U136" s="31">
        <f>IF(U135+AE136-K136&lt;=0.01,0,ROUND(U135+AE136-K136,2))</f>
        <v>0.0</v>
      </c>
      <c r="V136" s="31">
        <f>IF(V135+AF136-L136&lt;=0.01,0,ROUND(V135+AF136-L136,2))</f>
        <v>0.0</v>
      </c>
      <c r="W136" s="31">
        <f>IF(W135+AG136-M136&lt;=0.01,0,ROUND(W135+AG136-M136,2))</f>
        <v>0.0</v>
      </c>
      <c r="X136" s="31">
        <f>IF(X135+AH136-N136&lt;=0.01,0,ROUND(X135+AH136-N136,2))</f>
        <v>0.0</v>
      </c>
      <c r="Y136" s="31">
        <f>IF(Y135+AI136-O136&lt;=0.01,0,ROUND(Y135+AI136-O136,2))</f>
        <v>0.0</v>
      </c>
      <c r="Z136" s="31">
        <f>IF(Z135+AJ136-P136&lt;=0.01,0,ROUND(Z135+AJ136-P136,2))</f>
        <v>0.0</v>
      </c>
      <c r="AA136" s="31">
        <f>IF(AA135+AK136-Q136&lt;=0.01,0,ROUND(AA135+AK136-Q136,2))</f>
        <v>0.0</v>
      </c>
      <c r="AB136" s="31">
        <f>ROUND(R135*AB$5/1200,2)</f>
        <v>0.0</v>
      </c>
      <c r="AC136" s="31">
        <f>ROUND(S135*AC$5/1200,2)</f>
        <v>0.0</v>
      </c>
      <c r="AD136" s="31">
        <f>ROUND(T135*AD$5/1200,2)</f>
        <v>0.0</v>
      </c>
      <c r="AE136" s="31">
        <f>ROUND(U135*AE$5/1200,2)</f>
        <v>0.0</v>
      </c>
      <c r="AF136" s="31">
        <f>ROUND(V135*AF$5/1200,2)</f>
        <v>0.0</v>
      </c>
      <c r="AG136" s="31">
        <f>ROUND(W135*AG$5/1200,2)</f>
        <v>0.0</v>
      </c>
      <c r="AH136" s="31">
        <f>ROUND(X135*AH$5/1200,2)</f>
        <v>0.0</v>
      </c>
      <c r="AI136" s="31">
        <f>ROUND(Y135*AI$5/1200,2)</f>
        <v>0.0</v>
      </c>
      <c r="AJ136" s="31">
        <f>ROUND(Z135*AJ$5/1200,2)</f>
        <v>0.0</v>
      </c>
      <c r="AK136" s="31">
        <f>ROUND(AA135*AK$5/1200,2)</f>
        <v>0.0</v>
      </c>
      <c r="AL136" s="31">
        <f>MIN(AL$5,R135+AB136)</f>
        <v>0.0</v>
      </c>
      <c r="AM136" s="31">
        <f>MIN(AM$5,S135+AC136)</f>
        <v>0.0</v>
      </c>
      <c r="AN136" s="31">
        <f>MIN(AN$5,T135+AD136)</f>
        <v>0.0</v>
      </c>
      <c r="AO136" s="31">
        <f>MIN(AO$5,U135+AE136)</f>
        <v>0.0</v>
      </c>
      <c r="AP136" s="31">
        <f>MIN(AP$5,V135+AF136)</f>
        <v>0.0</v>
      </c>
      <c r="AQ136" s="31">
        <f>MIN(AQ$5,W135+AG136)</f>
        <v>0.0</v>
      </c>
      <c r="AR136" s="31">
        <f>MIN(AR$5,X135+AH136)</f>
        <v>0.0</v>
      </c>
      <c r="AS136" s="31">
        <f>MIN(AS$5,Y135+AI136)</f>
        <v>0.0</v>
      </c>
      <c r="AT136" s="31">
        <f>MIN(AT$5,Z135+AJ136)</f>
        <v>0.0</v>
      </c>
      <c r="AU136" s="31">
        <f>MIN(AU$5,AA135+AK136)</f>
        <v>0.0</v>
      </c>
    </row>
    <row r="137">
      <c r="A137" s="25" t="str">
        <f>IF(F136&gt;0.005,132,"")</f>
        <v/>
      </c>
      <c r="B137" s="33" t="str">
        <f>IF(A137="","",EDATE(Долги!$D$5,131))</f>
        <v/>
      </c>
      <c r="C137" s="31">
        <f>SUM(H137:Q137)</f>
        <v>0.0</v>
      </c>
      <c r="D137" s="31">
        <f>SUM(AB137:AK137)</f>
        <v>0.0</v>
      </c>
      <c r="E137" s="31">
        <f>C137-D137</f>
        <v>0.0</v>
      </c>
      <c r="F137" s="31">
        <f>SUM(R137:AA137)</f>
        <v>0.0</v>
      </c>
      <c r="G137" s="34" t="str">
        <f>IF(OR(A137="",$F$5&lt;=0),"",REPT("█",ROUND(20*F137/$F$5,0)))</f>
        <v/>
      </c>
      <c r="H137" s="31">
        <f>AL137+MIN(R136+AB137-AL137,MAX(0,ROUND(Долги!$D$19-SUM($AL137:$AU137),2)))</f>
        <v>0.0</v>
      </c>
      <c r="I137" s="31">
        <f>AM137+MIN(S136+AC137-AM137,MAX(0,ROUND(ROUND(Долги!$D$19-SUM($AL137:$AU137),2)-(SUM($H137:H137)-SUM($AL137:AL137)),2)))</f>
        <v>0.0</v>
      </c>
      <c r="J137" s="31">
        <f>AN137+MIN(T136+AD137-AN137,MAX(0,ROUND(ROUND(Долги!$D$19-SUM($AL137:$AU137),2)-(SUM($H137:I137)-SUM($AL137:AM137)),2)))</f>
        <v>0.0</v>
      </c>
      <c r="K137" s="31">
        <f>AO137+MIN(U136+AE137-AO137,MAX(0,ROUND(ROUND(Долги!$D$19-SUM($AL137:$AU137),2)-(SUM($H137:J137)-SUM($AL137:AN137)),2)))</f>
        <v>0.0</v>
      </c>
      <c r="L137" s="31">
        <f>AP137+MIN(V136+AF137-AP137,MAX(0,ROUND(ROUND(Долги!$D$19-SUM($AL137:$AU137),2)-(SUM($H137:K137)-SUM($AL137:AO137)),2)))</f>
        <v>0.0</v>
      </c>
      <c r="M137" s="31">
        <f>AQ137+MIN(W136+AG137-AQ137,MAX(0,ROUND(ROUND(Долги!$D$19-SUM($AL137:$AU137),2)-(SUM($H137:L137)-SUM($AL137:AP137)),2)))</f>
        <v>0.0</v>
      </c>
      <c r="N137" s="31">
        <f>AR137+MIN(X136+AH137-AR137,MAX(0,ROUND(ROUND(Долги!$D$19-SUM($AL137:$AU137),2)-(SUM($H137:M137)-SUM($AL137:AQ137)),2)))</f>
        <v>0.0</v>
      </c>
      <c r="O137" s="31">
        <f>AS137+MIN(Y136+AI137-AS137,MAX(0,ROUND(ROUND(Долги!$D$19-SUM($AL137:$AU137),2)-(SUM($H137:N137)-SUM($AL137:AR137)),2)))</f>
        <v>0.0</v>
      </c>
      <c r="P137" s="31">
        <f>AT137+MIN(Z136+AJ137-AT137,MAX(0,ROUND(ROUND(Долги!$D$19-SUM($AL137:$AU137),2)-(SUM($H137:O137)-SUM($AL137:AS137)),2)))</f>
        <v>0.0</v>
      </c>
      <c r="Q137" s="31">
        <f>AU137+MIN(AA136+AK137-AU137,MAX(0,ROUND(ROUND(Долги!$D$19-SUM($AL137:$AU137),2)-(SUM($H137:P137)-SUM($AL137:AT137)),2)))</f>
        <v>0.0</v>
      </c>
      <c r="R137" s="31">
        <f>IF(R136+AB137-H137&lt;=0.01,0,ROUND(R136+AB137-H137,2))</f>
        <v>0.0</v>
      </c>
      <c r="S137" s="31">
        <f>IF(S136+AC137-I137&lt;=0.01,0,ROUND(S136+AC137-I137,2))</f>
        <v>0.0</v>
      </c>
      <c r="T137" s="31">
        <f>IF(T136+AD137-J137&lt;=0.01,0,ROUND(T136+AD137-J137,2))</f>
        <v>0.0</v>
      </c>
      <c r="U137" s="31">
        <f>IF(U136+AE137-K137&lt;=0.01,0,ROUND(U136+AE137-K137,2))</f>
        <v>0.0</v>
      </c>
      <c r="V137" s="31">
        <f>IF(V136+AF137-L137&lt;=0.01,0,ROUND(V136+AF137-L137,2))</f>
        <v>0.0</v>
      </c>
      <c r="W137" s="31">
        <f>IF(W136+AG137-M137&lt;=0.01,0,ROUND(W136+AG137-M137,2))</f>
        <v>0.0</v>
      </c>
      <c r="X137" s="31">
        <f>IF(X136+AH137-N137&lt;=0.01,0,ROUND(X136+AH137-N137,2))</f>
        <v>0.0</v>
      </c>
      <c r="Y137" s="31">
        <f>IF(Y136+AI137-O137&lt;=0.01,0,ROUND(Y136+AI137-O137,2))</f>
        <v>0.0</v>
      </c>
      <c r="Z137" s="31">
        <f>IF(Z136+AJ137-P137&lt;=0.01,0,ROUND(Z136+AJ137-P137,2))</f>
        <v>0.0</v>
      </c>
      <c r="AA137" s="31">
        <f>IF(AA136+AK137-Q137&lt;=0.01,0,ROUND(AA136+AK137-Q137,2))</f>
        <v>0.0</v>
      </c>
      <c r="AB137" s="31">
        <f>ROUND(R136*AB$5/1200,2)</f>
        <v>0.0</v>
      </c>
      <c r="AC137" s="31">
        <f>ROUND(S136*AC$5/1200,2)</f>
        <v>0.0</v>
      </c>
      <c r="AD137" s="31">
        <f>ROUND(T136*AD$5/1200,2)</f>
        <v>0.0</v>
      </c>
      <c r="AE137" s="31">
        <f>ROUND(U136*AE$5/1200,2)</f>
        <v>0.0</v>
      </c>
      <c r="AF137" s="31">
        <f>ROUND(V136*AF$5/1200,2)</f>
        <v>0.0</v>
      </c>
      <c r="AG137" s="31">
        <f>ROUND(W136*AG$5/1200,2)</f>
        <v>0.0</v>
      </c>
      <c r="AH137" s="31">
        <f>ROUND(X136*AH$5/1200,2)</f>
        <v>0.0</v>
      </c>
      <c r="AI137" s="31">
        <f>ROUND(Y136*AI$5/1200,2)</f>
        <v>0.0</v>
      </c>
      <c r="AJ137" s="31">
        <f>ROUND(Z136*AJ$5/1200,2)</f>
        <v>0.0</v>
      </c>
      <c r="AK137" s="31">
        <f>ROUND(AA136*AK$5/1200,2)</f>
        <v>0.0</v>
      </c>
      <c r="AL137" s="31">
        <f>MIN(AL$5,R136+AB137)</f>
        <v>0.0</v>
      </c>
      <c r="AM137" s="31">
        <f>MIN(AM$5,S136+AC137)</f>
        <v>0.0</v>
      </c>
      <c r="AN137" s="31">
        <f>MIN(AN$5,T136+AD137)</f>
        <v>0.0</v>
      </c>
      <c r="AO137" s="31">
        <f>MIN(AO$5,U136+AE137)</f>
        <v>0.0</v>
      </c>
      <c r="AP137" s="31">
        <f>MIN(AP$5,V136+AF137)</f>
        <v>0.0</v>
      </c>
      <c r="AQ137" s="31">
        <f>MIN(AQ$5,W136+AG137)</f>
        <v>0.0</v>
      </c>
      <c r="AR137" s="31">
        <f>MIN(AR$5,X136+AH137)</f>
        <v>0.0</v>
      </c>
      <c r="AS137" s="31">
        <f>MIN(AS$5,Y136+AI137)</f>
        <v>0.0</v>
      </c>
      <c r="AT137" s="31">
        <f>MIN(AT$5,Z136+AJ137)</f>
        <v>0.0</v>
      </c>
      <c r="AU137" s="31">
        <f>MIN(AU$5,AA136+AK137)</f>
        <v>0.0</v>
      </c>
    </row>
    <row r="138">
      <c r="A138" s="25" t="str">
        <f>IF(F137&gt;0.005,133,"")</f>
        <v/>
      </c>
      <c r="B138" s="33" t="str">
        <f>IF(A138="","",EDATE(Долги!$D$5,132))</f>
        <v/>
      </c>
      <c r="C138" s="31">
        <f>SUM(H138:Q138)</f>
        <v>0.0</v>
      </c>
      <c r="D138" s="31">
        <f>SUM(AB138:AK138)</f>
        <v>0.0</v>
      </c>
      <c r="E138" s="31">
        <f>C138-D138</f>
        <v>0.0</v>
      </c>
      <c r="F138" s="31">
        <f>SUM(R138:AA138)</f>
        <v>0.0</v>
      </c>
      <c r="G138" s="34" t="str">
        <f>IF(OR(A138="",$F$5&lt;=0),"",REPT("█",ROUND(20*F138/$F$5,0)))</f>
        <v/>
      </c>
      <c r="H138" s="31">
        <f>AL138+MIN(R137+AB138-AL138,MAX(0,ROUND(Долги!$D$19-SUM($AL138:$AU138),2)))</f>
        <v>0.0</v>
      </c>
      <c r="I138" s="31">
        <f>AM138+MIN(S137+AC138-AM138,MAX(0,ROUND(ROUND(Долги!$D$19-SUM($AL138:$AU138),2)-(SUM($H138:H138)-SUM($AL138:AL138)),2)))</f>
        <v>0.0</v>
      </c>
      <c r="J138" s="31">
        <f>AN138+MIN(T137+AD138-AN138,MAX(0,ROUND(ROUND(Долги!$D$19-SUM($AL138:$AU138),2)-(SUM($H138:I138)-SUM($AL138:AM138)),2)))</f>
        <v>0.0</v>
      </c>
      <c r="K138" s="31">
        <f>AO138+MIN(U137+AE138-AO138,MAX(0,ROUND(ROUND(Долги!$D$19-SUM($AL138:$AU138),2)-(SUM($H138:J138)-SUM($AL138:AN138)),2)))</f>
        <v>0.0</v>
      </c>
      <c r="L138" s="31">
        <f>AP138+MIN(V137+AF138-AP138,MAX(0,ROUND(ROUND(Долги!$D$19-SUM($AL138:$AU138),2)-(SUM($H138:K138)-SUM($AL138:AO138)),2)))</f>
        <v>0.0</v>
      </c>
      <c r="M138" s="31">
        <f>AQ138+MIN(W137+AG138-AQ138,MAX(0,ROUND(ROUND(Долги!$D$19-SUM($AL138:$AU138),2)-(SUM($H138:L138)-SUM($AL138:AP138)),2)))</f>
        <v>0.0</v>
      </c>
      <c r="N138" s="31">
        <f>AR138+MIN(X137+AH138-AR138,MAX(0,ROUND(ROUND(Долги!$D$19-SUM($AL138:$AU138),2)-(SUM($H138:M138)-SUM($AL138:AQ138)),2)))</f>
        <v>0.0</v>
      </c>
      <c r="O138" s="31">
        <f>AS138+MIN(Y137+AI138-AS138,MAX(0,ROUND(ROUND(Долги!$D$19-SUM($AL138:$AU138),2)-(SUM($H138:N138)-SUM($AL138:AR138)),2)))</f>
        <v>0.0</v>
      </c>
      <c r="P138" s="31">
        <f>AT138+MIN(Z137+AJ138-AT138,MAX(0,ROUND(ROUND(Долги!$D$19-SUM($AL138:$AU138),2)-(SUM($H138:O138)-SUM($AL138:AS138)),2)))</f>
        <v>0.0</v>
      </c>
      <c r="Q138" s="31">
        <f>AU138+MIN(AA137+AK138-AU138,MAX(0,ROUND(ROUND(Долги!$D$19-SUM($AL138:$AU138),2)-(SUM($H138:P138)-SUM($AL138:AT138)),2)))</f>
        <v>0.0</v>
      </c>
      <c r="R138" s="31">
        <f>IF(R137+AB138-H138&lt;=0.01,0,ROUND(R137+AB138-H138,2))</f>
        <v>0.0</v>
      </c>
      <c r="S138" s="31">
        <f>IF(S137+AC138-I138&lt;=0.01,0,ROUND(S137+AC138-I138,2))</f>
        <v>0.0</v>
      </c>
      <c r="T138" s="31">
        <f>IF(T137+AD138-J138&lt;=0.01,0,ROUND(T137+AD138-J138,2))</f>
        <v>0.0</v>
      </c>
      <c r="U138" s="31">
        <f>IF(U137+AE138-K138&lt;=0.01,0,ROUND(U137+AE138-K138,2))</f>
        <v>0.0</v>
      </c>
      <c r="V138" s="31">
        <f>IF(V137+AF138-L138&lt;=0.01,0,ROUND(V137+AF138-L138,2))</f>
        <v>0.0</v>
      </c>
      <c r="W138" s="31">
        <f>IF(W137+AG138-M138&lt;=0.01,0,ROUND(W137+AG138-M138,2))</f>
        <v>0.0</v>
      </c>
      <c r="X138" s="31">
        <f>IF(X137+AH138-N138&lt;=0.01,0,ROUND(X137+AH138-N138,2))</f>
        <v>0.0</v>
      </c>
      <c r="Y138" s="31">
        <f>IF(Y137+AI138-O138&lt;=0.01,0,ROUND(Y137+AI138-O138,2))</f>
        <v>0.0</v>
      </c>
      <c r="Z138" s="31">
        <f>IF(Z137+AJ138-P138&lt;=0.01,0,ROUND(Z137+AJ138-P138,2))</f>
        <v>0.0</v>
      </c>
      <c r="AA138" s="31">
        <f>IF(AA137+AK138-Q138&lt;=0.01,0,ROUND(AA137+AK138-Q138,2))</f>
        <v>0.0</v>
      </c>
      <c r="AB138" s="31">
        <f>ROUND(R137*AB$5/1200,2)</f>
        <v>0.0</v>
      </c>
      <c r="AC138" s="31">
        <f>ROUND(S137*AC$5/1200,2)</f>
        <v>0.0</v>
      </c>
      <c r="AD138" s="31">
        <f>ROUND(T137*AD$5/1200,2)</f>
        <v>0.0</v>
      </c>
      <c r="AE138" s="31">
        <f>ROUND(U137*AE$5/1200,2)</f>
        <v>0.0</v>
      </c>
      <c r="AF138" s="31">
        <f>ROUND(V137*AF$5/1200,2)</f>
        <v>0.0</v>
      </c>
      <c r="AG138" s="31">
        <f>ROUND(W137*AG$5/1200,2)</f>
        <v>0.0</v>
      </c>
      <c r="AH138" s="31">
        <f>ROUND(X137*AH$5/1200,2)</f>
        <v>0.0</v>
      </c>
      <c r="AI138" s="31">
        <f>ROUND(Y137*AI$5/1200,2)</f>
        <v>0.0</v>
      </c>
      <c r="AJ138" s="31">
        <f>ROUND(Z137*AJ$5/1200,2)</f>
        <v>0.0</v>
      </c>
      <c r="AK138" s="31">
        <f>ROUND(AA137*AK$5/1200,2)</f>
        <v>0.0</v>
      </c>
      <c r="AL138" s="31">
        <f>MIN(AL$5,R137+AB138)</f>
        <v>0.0</v>
      </c>
      <c r="AM138" s="31">
        <f>MIN(AM$5,S137+AC138)</f>
        <v>0.0</v>
      </c>
      <c r="AN138" s="31">
        <f>MIN(AN$5,T137+AD138)</f>
        <v>0.0</v>
      </c>
      <c r="AO138" s="31">
        <f>MIN(AO$5,U137+AE138)</f>
        <v>0.0</v>
      </c>
      <c r="AP138" s="31">
        <f>MIN(AP$5,V137+AF138)</f>
        <v>0.0</v>
      </c>
      <c r="AQ138" s="31">
        <f>MIN(AQ$5,W137+AG138)</f>
        <v>0.0</v>
      </c>
      <c r="AR138" s="31">
        <f>MIN(AR$5,X137+AH138)</f>
        <v>0.0</v>
      </c>
      <c r="AS138" s="31">
        <f>MIN(AS$5,Y137+AI138)</f>
        <v>0.0</v>
      </c>
      <c r="AT138" s="31">
        <f>MIN(AT$5,Z137+AJ138)</f>
        <v>0.0</v>
      </c>
      <c r="AU138" s="31">
        <f>MIN(AU$5,AA137+AK138)</f>
        <v>0.0</v>
      </c>
    </row>
    <row r="139">
      <c r="A139" s="25" t="str">
        <f>IF(F138&gt;0.005,134,"")</f>
        <v/>
      </c>
      <c r="B139" s="33" t="str">
        <f>IF(A139="","",EDATE(Долги!$D$5,133))</f>
        <v/>
      </c>
      <c r="C139" s="31">
        <f>SUM(H139:Q139)</f>
        <v>0.0</v>
      </c>
      <c r="D139" s="31">
        <f>SUM(AB139:AK139)</f>
        <v>0.0</v>
      </c>
      <c r="E139" s="31">
        <f>C139-D139</f>
        <v>0.0</v>
      </c>
      <c r="F139" s="31">
        <f>SUM(R139:AA139)</f>
        <v>0.0</v>
      </c>
      <c r="G139" s="34" t="str">
        <f>IF(OR(A139="",$F$5&lt;=0),"",REPT("█",ROUND(20*F139/$F$5,0)))</f>
        <v/>
      </c>
      <c r="H139" s="31">
        <f>AL139+MIN(R138+AB139-AL139,MAX(0,ROUND(Долги!$D$19-SUM($AL139:$AU139),2)))</f>
        <v>0.0</v>
      </c>
      <c r="I139" s="31">
        <f>AM139+MIN(S138+AC139-AM139,MAX(0,ROUND(ROUND(Долги!$D$19-SUM($AL139:$AU139),2)-(SUM($H139:H139)-SUM($AL139:AL139)),2)))</f>
        <v>0.0</v>
      </c>
      <c r="J139" s="31">
        <f>AN139+MIN(T138+AD139-AN139,MAX(0,ROUND(ROUND(Долги!$D$19-SUM($AL139:$AU139),2)-(SUM($H139:I139)-SUM($AL139:AM139)),2)))</f>
        <v>0.0</v>
      </c>
      <c r="K139" s="31">
        <f>AO139+MIN(U138+AE139-AO139,MAX(0,ROUND(ROUND(Долги!$D$19-SUM($AL139:$AU139),2)-(SUM($H139:J139)-SUM($AL139:AN139)),2)))</f>
        <v>0.0</v>
      </c>
      <c r="L139" s="31">
        <f>AP139+MIN(V138+AF139-AP139,MAX(0,ROUND(ROUND(Долги!$D$19-SUM($AL139:$AU139),2)-(SUM($H139:K139)-SUM($AL139:AO139)),2)))</f>
        <v>0.0</v>
      </c>
      <c r="M139" s="31">
        <f>AQ139+MIN(W138+AG139-AQ139,MAX(0,ROUND(ROUND(Долги!$D$19-SUM($AL139:$AU139),2)-(SUM($H139:L139)-SUM($AL139:AP139)),2)))</f>
        <v>0.0</v>
      </c>
      <c r="N139" s="31">
        <f>AR139+MIN(X138+AH139-AR139,MAX(0,ROUND(ROUND(Долги!$D$19-SUM($AL139:$AU139),2)-(SUM($H139:M139)-SUM($AL139:AQ139)),2)))</f>
        <v>0.0</v>
      </c>
      <c r="O139" s="31">
        <f>AS139+MIN(Y138+AI139-AS139,MAX(0,ROUND(ROUND(Долги!$D$19-SUM($AL139:$AU139),2)-(SUM($H139:N139)-SUM($AL139:AR139)),2)))</f>
        <v>0.0</v>
      </c>
      <c r="P139" s="31">
        <f>AT139+MIN(Z138+AJ139-AT139,MAX(0,ROUND(ROUND(Долги!$D$19-SUM($AL139:$AU139),2)-(SUM($H139:O139)-SUM($AL139:AS139)),2)))</f>
        <v>0.0</v>
      </c>
      <c r="Q139" s="31">
        <f>AU139+MIN(AA138+AK139-AU139,MAX(0,ROUND(ROUND(Долги!$D$19-SUM($AL139:$AU139),2)-(SUM($H139:P139)-SUM($AL139:AT139)),2)))</f>
        <v>0.0</v>
      </c>
      <c r="R139" s="31">
        <f>IF(R138+AB139-H139&lt;=0.01,0,ROUND(R138+AB139-H139,2))</f>
        <v>0.0</v>
      </c>
      <c r="S139" s="31">
        <f>IF(S138+AC139-I139&lt;=0.01,0,ROUND(S138+AC139-I139,2))</f>
        <v>0.0</v>
      </c>
      <c r="T139" s="31">
        <f>IF(T138+AD139-J139&lt;=0.01,0,ROUND(T138+AD139-J139,2))</f>
        <v>0.0</v>
      </c>
      <c r="U139" s="31">
        <f>IF(U138+AE139-K139&lt;=0.01,0,ROUND(U138+AE139-K139,2))</f>
        <v>0.0</v>
      </c>
      <c r="V139" s="31">
        <f>IF(V138+AF139-L139&lt;=0.01,0,ROUND(V138+AF139-L139,2))</f>
        <v>0.0</v>
      </c>
      <c r="W139" s="31">
        <f>IF(W138+AG139-M139&lt;=0.01,0,ROUND(W138+AG139-M139,2))</f>
        <v>0.0</v>
      </c>
      <c r="X139" s="31">
        <f>IF(X138+AH139-N139&lt;=0.01,0,ROUND(X138+AH139-N139,2))</f>
        <v>0.0</v>
      </c>
      <c r="Y139" s="31">
        <f>IF(Y138+AI139-O139&lt;=0.01,0,ROUND(Y138+AI139-O139,2))</f>
        <v>0.0</v>
      </c>
      <c r="Z139" s="31">
        <f>IF(Z138+AJ139-P139&lt;=0.01,0,ROUND(Z138+AJ139-P139,2))</f>
        <v>0.0</v>
      </c>
      <c r="AA139" s="31">
        <f>IF(AA138+AK139-Q139&lt;=0.01,0,ROUND(AA138+AK139-Q139,2))</f>
        <v>0.0</v>
      </c>
      <c r="AB139" s="31">
        <f>ROUND(R138*AB$5/1200,2)</f>
        <v>0.0</v>
      </c>
      <c r="AC139" s="31">
        <f>ROUND(S138*AC$5/1200,2)</f>
        <v>0.0</v>
      </c>
      <c r="AD139" s="31">
        <f>ROUND(T138*AD$5/1200,2)</f>
        <v>0.0</v>
      </c>
      <c r="AE139" s="31">
        <f>ROUND(U138*AE$5/1200,2)</f>
        <v>0.0</v>
      </c>
      <c r="AF139" s="31">
        <f>ROUND(V138*AF$5/1200,2)</f>
        <v>0.0</v>
      </c>
      <c r="AG139" s="31">
        <f>ROUND(W138*AG$5/1200,2)</f>
        <v>0.0</v>
      </c>
      <c r="AH139" s="31">
        <f>ROUND(X138*AH$5/1200,2)</f>
        <v>0.0</v>
      </c>
      <c r="AI139" s="31">
        <f>ROUND(Y138*AI$5/1200,2)</f>
        <v>0.0</v>
      </c>
      <c r="AJ139" s="31">
        <f>ROUND(Z138*AJ$5/1200,2)</f>
        <v>0.0</v>
      </c>
      <c r="AK139" s="31">
        <f>ROUND(AA138*AK$5/1200,2)</f>
        <v>0.0</v>
      </c>
      <c r="AL139" s="31">
        <f>MIN(AL$5,R138+AB139)</f>
        <v>0.0</v>
      </c>
      <c r="AM139" s="31">
        <f>MIN(AM$5,S138+AC139)</f>
        <v>0.0</v>
      </c>
      <c r="AN139" s="31">
        <f>MIN(AN$5,T138+AD139)</f>
        <v>0.0</v>
      </c>
      <c r="AO139" s="31">
        <f>MIN(AO$5,U138+AE139)</f>
        <v>0.0</v>
      </c>
      <c r="AP139" s="31">
        <f>MIN(AP$5,V138+AF139)</f>
        <v>0.0</v>
      </c>
      <c r="AQ139" s="31">
        <f>MIN(AQ$5,W138+AG139)</f>
        <v>0.0</v>
      </c>
      <c r="AR139" s="31">
        <f>MIN(AR$5,X138+AH139)</f>
        <v>0.0</v>
      </c>
      <c r="AS139" s="31">
        <f>MIN(AS$5,Y138+AI139)</f>
        <v>0.0</v>
      </c>
      <c r="AT139" s="31">
        <f>MIN(AT$5,Z138+AJ139)</f>
        <v>0.0</v>
      </c>
      <c r="AU139" s="31">
        <f>MIN(AU$5,AA138+AK139)</f>
        <v>0.0</v>
      </c>
    </row>
    <row r="140">
      <c r="A140" s="25" t="str">
        <f>IF(F139&gt;0.005,135,"")</f>
        <v/>
      </c>
      <c r="B140" s="33" t="str">
        <f>IF(A140="","",EDATE(Долги!$D$5,134))</f>
        <v/>
      </c>
      <c r="C140" s="31">
        <f>SUM(H140:Q140)</f>
        <v>0.0</v>
      </c>
      <c r="D140" s="31">
        <f>SUM(AB140:AK140)</f>
        <v>0.0</v>
      </c>
      <c r="E140" s="31">
        <f>C140-D140</f>
        <v>0.0</v>
      </c>
      <c r="F140" s="31">
        <f>SUM(R140:AA140)</f>
        <v>0.0</v>
      </c>
      <c r="G140" s="34" t="str">
        <f>IF(OR(A140="",$F$5&lt;=0),"",REPT("█",ROUND(20*F140/$F$5,0)))</f>
        <v/>
      </c>
      <c r="H140" s="31">
        <f>AL140+MIN(R139+AB140-AL140,MAX(0,ROUND(Долги!$D$19-SUM($AL140:$AU140),2)))</f>
        <v>0.0</v>
      </c>
      <c r="I140" s="31">
        <f>AM140+MIN(S139+AC140-AM140,MAX(0,ROUND(ROUND(Долги!$D$19-SUM($AL140:$AU140),2)-(SUM($H140:H140)-SUM($AL140:AL140)),2)))</f>
        <v>0.0</v>
      </c>
      <c r="J140" s="31">
        <f>AN140+MIN(T139+AD140-AN140,MAX(0,ROUND(ROUND(Долги!$D$19-SUM($AL140:$AU140),2)-(SUM($H140:I140)-SUM($AL140:AM140)),2)))</f>
        <v>0.0</v>
      </c>
      <c r="K140" s="31">
        <f>AO140+MIN(U139+AE140-AO140,MAX(0,ROUND(ROUND(Долги!$D$19-SUM($AL140:$AU140),2)-(SUM($H140:J140)-SUM($AL140:AN140)),2)))</f>
        <v>0.0</v>
      </c>
      <c r="L140" s="31">
        <f>AP140+MIN(V139+AF140-AP140,MAX(0,ROUND(ROUND(Долги!$D$19-SUM($AL140:$AU140),2)-(SUM($H140:K140)-SUM($AL140:AO140)),2)))</f>
        <v>0.0</v>
      </c>
      <c r="M140" s="31">
        <f>AQ140+MIN(W139+AG140-AQ140,MAX(0,ROUND(ROUND(Долги!$D$19-SUM($AL140:$AU140),2)-(SUM($H140:L140)-SUM($AL140:AP140)),2)))</f>
        <v>0.0</v>
      </c>
      <c r="N140" s="31">
        <f>AR140+MIN(X139+AH140-AR140,MAX(0,ROUND(ROUND(Долги!$D$19-SUM($AL140:$AU140),2)-(SUM($H140:M140)-SUM($AL140:AQ140)),2)))</f>
        <v>0.0</v>
      </c>
      <c r="O140" s="31">
        <f>AS140+MIN(Y139+AI140-AS140,MAX(0,ROUND(ROUND(Долги!$D$19-SUM($AL140:$AU140),2)-(SUM($H140:N140)-SUM($AL140:AR140)),2)))</f>
        <v>0.0</v>
      </c>
      <c r="P140" s="31">
        <f>AT140+MIN(Z139+AJ140-AT140,MAX(0,ROUND(ROUND(Долги!$D$19-SUM($AL140:$AU140),2)-(SUM($H140:O140)-SUM($AL140:AS140)),2)))</f>
        <v>0.0</v>
      </c>
      <c r="Q140" s="31">
        <f>AU140+MIN(AA139+AK140-AU140,MAX(0,ROUND(ROUND(Долги!$D$19-SUM($AL140:$AU140),2)-(SUM($H140:P140)-SUM($AL140:AT140)),2)))</f>
        <v>0.0</v>
      </c>
      <c r="R140" s="31">
        <f>IF(R139+AB140-H140&lt;=0.01,0,ROUND(R139+AB140-H140,2))</f>
        <v>0.0</v>
      </c>
      <c r="S140" s="31">
        <f>IF(S139+AC140-I140&lt;=0.01,0,ROUND(S139+AC140-I140,2))</f>
        <v>0.0</v>
      </c>
      <c r="T140" s="31">
        <f>IF(T139+AD140-J140&lt;=0.01,0,ROUND(T139+AD140-J140,2))</f>
        <v>0.0</v>
      </c>
      <c r="U140" s="31">
        <f>IF(U139+AE140-K140&lt;=0.01,0,ROUND(U139+AE140-K140,2))</f>
        <v>0.0</v>
      </c>
      <c r="V140" s="31">
        <f>IF(V139+AF140-L140&lt;=0.01,0,ROUND(V139+AF140-L140,2))</f>
        <v>0.0</v>
      </c>
      <c r="W140" s="31">
        <f>IF(W139+AG140-M140&lt;=0.01,0,ROUND(W139+AG140-M140,2))</f>
        <v>0.0</v>
      </c>
      <c r="X140" s="31">
        <f>IF(X139+AH140-N140&lt;=0.01,0,ROUND(X139+AH140-N140,2))</f>
        <v>0.0</v>
      </c>
      <c r="Y140" s="31">
        <f>IF(Y139+AI140-O140&lt;=0.01,0,ROUND(Y139+AI140-O140,2))</f>
        <v>0.0</v>
      </c>
      <c r="Z140" s="31">
        <f>IF(Z139+AJ140-P140&lt;=0.01,0,ROUND(Z139+AJ140-P140,2))</f>
        <v>0.0</v>
      </c>
      <c r="AA140" s="31">
        <f>IF(AA139+AK140-Q140&lt;=0.01,0,ROUND(AA139+AK140-Q140,2))</f>
        <v>0.0</v>
      </c>
      <c r="AB140" s="31">
        <f>ROUND(R139*AB$5/1200,2)</f>
        <v>0.0</v>
      </c>
      <c r="AC140" s="31">
        <f>ROUND(S139*AC$5/1200,2)</f>
        <v>0.0</v>
      </c>
      <c r="AD140" s="31">
        <f>ROUND(T139*AD$5/1200,2)</f>
        <v>0.0</v>
      </c>
      <c r="AE140" s="31">
        <f>ROUND(U139*AE$5/1200,2)</f>
        <v>0.0</v>
      </c>
      <c r="AF140" s="31">
        <f>ROUND(V139*AF$5/1200,2)</f>
        <v>0.0</v>
      </c>
      <c r="AG140" s="31">
        <f>ROUND(W139*AG$5/1200,2)</f>
        <v>0.0</v>
      </c>
      <c r="AH140" s="31">
        <f>ROUND(X139*AH$5/1200,2)</f>
        <v>0.0</v>
      </c>
      <c r="AI140" s="31">
        <f>ROUND(Y139*AI$5/1200,2)</f>
        <v>0.0</v>
      </c>
      <c r="AJ140" s="31">
        <f>ROUND(Z139*AJ$5/1200,2)</f>
        <v>0.0</v>
      </c>
      <c r="AK140" s="31">
        <f>ROUND(AA139*AK$5/1200,2)</f>
        <v>0.0</v>
      </c>
      <c r="AL140" s="31">
        <f>MIN(AL$5,R139+AB140)</f>
        <v>0.0</v>
      </c>
      <c r="AM140" s="31">
        <f>MIN(AM$5,S139+AC140)</f>
        <v>0.0</v>
      </c>
      <c r="AN140" s="31">
        <f>MIN(AN$5,T139+AD140)</f>
        <v>0.0</v>
      </c>
      <c r="AO140" s="31">
        <f>MIN(AO$5,U139+AE140)</f>
        <v>0.0</v>
      </c>
      <c r="AP140" s="31">
        <f>MIN(AP$5,V139+AF140)</f>
        <v>0.0</v>
      </c>
      <c r="AQ140" s="31">
        <f>MIN(AQ$5,W139+AG140)</f>
        <v>0.0</v>
      </c>
      <c r="AR140" s="31">
        <f>MIN(AR$5,X139+AH140)</f>
        <v>0.0</v>
      </c>
      <c r="AS140" s="31">
        <f>MIN(AS$5,Y139+AI140)</f>
        <v>0.0</v>
      </c>
      <c r="AT140" s="31">
        <f>MIN(AT$5,Z139+AJ140)</f>
        <v>0.0</v>
      </c>
      <c r="AU140" s="31">
        <f>MIN(AU$5,AA139+AK140)</f>
        <v>0.0</v>
      </c>
    </row>
    <row r="141">
      <c r="A141" s="25" t="str">
        <f>IF(F140&gt;0.005,136,"")</f>
        <v/>
      </c>
      <c r="B141" s="33" t="str">
        <f>IF(A141="","",EDATE(Долги!$D$5,135))</f>
        <v/>
      </c>
      <c r="C141" s="31">
        <f>SUM(H141:Q141)</f>
        <v>0.0</v>
      </c>
      <c r="D141" s="31">
        <f>SUM(AB141:AK141)</f>
        <v>0.0</v>
      </c>
      <c r="E141" s="31">
        <f>C141-D141</f>
        <v>0.0</v>
      </c>
      <c r="F141" s="31">
        <f>SUM(R141:AA141)</f>
        <v>0.0</v>
      </c>
      <c r="G141" s="34" t="str">
        <f>IF(OR(A141="",$F$5&lt;=0),"",REPT("█",ROUND(20*F141/$F$5,0)))</f>
        <v/>
      </c>
      <c r="H141" s="31">
        <f>AL141+MIN(R140+AB141-AL141,MAX(0,ROUND(Долги!$D$19-SUM($AL141:$AU141),2)))</f>
        <v>0.0</v>
      </c>
      <c r="I141" s="31">
        <f>AM141+MIN(S140+AC141-AM141,MAX(0,ROUND(ROUND(Долги!$D$19-SUM($AL141:$AU141),2)-(SUM($H141:H141)-SUM($AL141:AL141)),2)))</f>
        <v>0.0</v>
      </c>
      <c r="J141" s="31">
        <f>AN141+MIN(T140+AD141-AN141,MAX(0,ROUND(ROUND(Долги!$D$19-SUM($AL141:$AU141),2)-(SUM($H141:I141)-SUM($AL141:AM141)),2)))</f>
        <v>0.0</v>
      </c>
      <c r="K141" s="31">
        <f>AO141+MIN(U140+AE141-AO141,MAX(0,ROUND(ROUND(Долги!$D$19-SUM($AL141:$AU141),2)-(SUM($H141:J141)-SUM($AL141:AN141)),2)))</f>
        <v>0.0</v>
      </c>
      <c r="L141" s="31">
        <f>AP141+MIN(V140+AF141-AP141,MAX(0,ROUND(ROUND(Долги!$D$19-SUM($AL141:$AU141),2)-(SUM($H141:K141)-SUM($AL141:AO141)),2)))</f>
        <v>0.0</v>
      </c>
      <c r="M141" s="31">
        <f>AQ141+MIN(W140+AG141-AQ141,MAX(0,ROUND(ROUND(Долги!$D$19-SUM($AL141:$AU141),2)-(SUM($H141:L141)-SUM($AL141:AP141)),2)))</f>
        <v>0.0</v>
      </c>
      <c r="N141" s="31">
        <f>AR141+MIN(X140+AH141-AR141,MAX(0,ROUND(ROUND(Долги!$D$19-SUM($AL141:$AU141),2)-(SUM($H141:M141)-SUM($AL141:AQ141)),2)))</f>
        <v>0.0</v>
      </c>
      <c r="O141" s="31">
        <f>AS141+MIN(Y140+AI141-AS141,MAX(0,ROUND(ROUND(Долги!$D$19-SUM($AL141:$AU141),2)-(SUM($H141:N141)-SUM($AL141:AR141)),2)))</f>
        <v>0.0</v>
      </c>
      <c r="P141" s="31">
        <f>AT141+MIN(Z140+AJ141-AT141,MAX(0,ROUND(ROUND(Долги!$D$19-SUM($AL141:$AU141),2)-(SUM($H141:O141)-SUM($AL141:AS141)),2)))</f>
        <v>0.0</v>
      </c>
      <c r="Q141" s="31">
        <f>AU141+MIN(AA140+AK141-AU141,MAX(0,ROUND(ROUND(Долги!$D$19-SUM($AL141:$AU141),2)-(SUM($H141:P141)-SUM($AL141:AT141)),2)))</f>
        <v>0.0</v>
      </c>
      <c r="R141" s="31">
        <f>IF(R140+AB141-H141&lt;=0.01,0,ROUND(R140+AB141-H141,2))</f>
        <v>0.0</v>
      </c>
      <c r="S141" s="31">
        <f>IF(S140+AC141-I141&lt;=0.01,0,ROUND(S140+AC141-I141,2))</f>
        <v>0.0</v>
      </c>
      <c r="T141" s="31">
        <f>IF(T140+AD141-J141&lt;=0.01,0,ROUND(T140+AD141-J141,2))</f>
        <v>0.0</v>
      </c>
      <c r="U141" s="31">
        <f>IF(U140+AE141-K141&lt;=0.01,0,ROUND(U140+AE141-K141,2))</f>
        <v>0.0</v>
      </c>
      <c r="V141" s="31">
        <f>IF(V140+AF141-L141&lt;=0.01,0,ROUND(V140+AF141-L141,2))</f>
        <v>0.0</v>
      </c>
      <c r="W141" s="31">
        <f>IF(W140+AG141-M141&lt;=0.01,0,ROUND(W140+AG141-M141,2))</f>
        <v>0.0</v>
      </c>
      <c r="X141" s="31">
        <f>IF(X140+AH141-N141&lt;=0.01,0,ROUND(X140+AH141-N141,2))</f>
        <v>0.0</v>
      </c>
      <c r="Y141" s="31">
        <f>IF(Y140+AI141-O141&lt;=0.01,0,ROUND(Y140+AI141-O141,2))</f>
        <v>0.0</v>
      </c>
      <c r="Z141" s="31">
        <f>IF(Z140+AJ141-P141&lt;=0.01,0,ROUND(Z140+AJ141-P141,2))</f>
        <v>0.0</v>
      </c>
      <c r="AA141" s="31">
        <f>IF(AA140+AK141-Q141&lt;=0.01,0,ROUND(AA140+AK141-Q141,2))</f>
        <v>0.0</v>
      </c>
      <c r="AB141" s="31">
        <f>ROUND(R140*AB$5/1200,2)</f>
        <v>0.0</v>
      </c>
      <c r="AC141" s="31">
        <f>ROUND(S140*AC$5/1200,2)</f>
        <v>0.0</v>
      </c>
      <c r="AD141" s="31">
        <f>ROUND(T140*AD$5/1200,2)</f>
        <v>0.0</v>
      </c>
      <c r="AE141" s="31">
        <f>ROUND(U140*AE$5/1200,2)</f>
        <v>0.0</v>
      </c>
      <c r="AF141" s="31">
        <f>ROUND(V140*AF$5/1200,2)</f>
        <v>0.0</v>
      </c>
      <c r="AG141" s="31">
        <f>ROUND(W140*AG$5/1200,2)</f>
        <v>0.0</v>
      </c>
      <c r="AH141" s="31">
        <f>ROUND(X140*AH$5/1200,2)</f>
        <v>0.0</v>
      </c>
      <c r="AI141" s="31">
        <f>ROUND(Y140*AI$5/1200,2)</f>
        <v>0.0</v>
      </c>
      <c r="AJ141" s="31">
        <f>ROUND(Z140*AJ$5/1200,2)</f>
        <v>0.0</v>
      </c>
      <c r="AK141" s="31">
        <f>ROUND(AA140*AK$5/1200,2)</f>
        <v>0.0</v>
      </c>
      <c r="AL141" s="31">
        <f>MIN(AL$5,R140+AB141)</f>
        <v>0.0</v>
      </c>
      <c r="AM141" s="31">
        <f>MIN(AM$5,S140+AC141)</f>
        <v>0.0</v>
      </c>
      <c r="AN141" s="31">
        <f>MIN(AN$5,T140+AD141)</f>
        <v>0.0</v>
      </c>
      <c r="AO141" s="31">
        <f>MIN(AO$5,U140+AE141)</f>
        <v>0.0</v>
      </c>
      <c r="AP141" s="31">
        <f>MIN(AP$5,V140+AF141)</f>
        <v>0.0</v>
      </c>
      <c r="AQ141" s="31">
        <f>MIN(AQ$5,W140+AG141)</f>
        <v>0.0</v>
      </c>
      <c r="AR141" s="31">
        <f>MIN(AR$5,X140+AH141)</f>
        <v>0.0</v>
      </c>
      <c r="AS141" s="31">
        <f>MIN(AS$5,Y140+AI141)</f>
        <v>0.0</v>
      </c>
      <c r="AT141" s="31">
        <f>MIN(AT$5,Z140+AJ141)</f>
        <v>0.0</v>
      </c>
      <c r="AU141" s="31">
        <f>MIN(AU$5,AA140+AK141)</f>
        <v>0.0</v>
      </c>
    </row>
    <row r="142">
      <c r="A142" s="25" t="str">
        <f>IF(F141&gt;0.005,137,"")</f>
        <v/>
      </c>
      <c r="B142" s="33" t="str">
        <f>IF(A142="","",EDATE(Долги!$D$5,136))</f>
        <v/>
      </c>
      <c r="C142" s="31">
        <f>SUM(H142:Q142)</f>
        <v>0.0</v>
      </c>
      <c r="D142" s="31">
        <f>SUM(AB142:AK142)</f>
        <v>0.0</v>
      </c>
      <c r="E142" s="31">
        <f>C142-D142</f>
        <v>0.0</v>
      </c>
      <c r="F142" s="31">
        <f>SUM(R142:AA142)</f>
        <v>0.0</v>
      </c>
      <c r="G142" s="34" t="str">
        <f>IF(OR(A142="",$F$5&lt;=0),"",REPT("█",ROUND(20*F142/$F$5,0)))</f>
        <v/>
      </c>
      <c r="H142" s="31">
        <f>AL142+MIN(R141+AB142-AL142,MAX(0,ROUND(Долги!$D$19-SUM($AL142:$AU142),2)))</f>
        <v>0.0</v>
      </c>
      <c r="I142" s="31">
        <f>AM142+MIN(S141+AC142-AM142,MAX(0,ROUND(ROUND(Долги!$D$19-SUM($AL142:$AU142),2)-(SUM($H142:H142)-SUM($AL142:AL142)),2)))</f>
        <v>0.0</v>
      </c>
      <c r="J142" s="31">
        <f>AN142+MIN(T141+AD142-AN142,MAX(0,ROUND(ROUND(Долги!$D$19-SUM($AL142:$AU142),2)-(SUM($H142:I142)-SUM($AL142:AM142)),2)))</f>
        <v>0.0</v>
      </c>
      <c r="K142" s="31">
        <f>AO142+MIN(U141+AE142-AO142,MAX(0,ROUND(ROUND(Долги!$D$19-SUM($AL142:$AU142),2)-(SUM($H142:J142)-SUM($AL142:AN142)),2)))</f>
        <v>0.0</v>
      </c>
      <c r="L142" s="31">
        <f>AP142+MIN(V141+AF142-AP142,MAX(0,ROUND(ROUND(Долги!$D$19-SUM($AL142:$AU142),2)-(SUM($H142:K142)-SUM($AL142:AO142)),2)))</f>
        <v>0.0</v>
      </c>
      <c r="M142" s="31">
        <f>AQ142+MIN(W141+AG142-AQ142,MAX(0,ROUND(ROUND(Долги!$D$19-SUM($AL142:$AU142),2)-(SUM($H142:L142)-SUM($AL142:AP142)),2)))</f>
        <v>0.0</v>
      </c>
      <c r="N142" s="31">
        <f>AR142+MIN(X141+AH142-AR142,MAX(0,ROUND(ROUND(Долги!$D$19-SUM($AL142:$AU142),2)-(SUM($H142:M142)-SUM($AL142:AQ142)),2)))</f>
        <v>0.0</v>
      </c>
      <c r="O142" s="31">
        <f>AS142+MIN(Y141+AI142-AS142,MAX(0,ROUND(ROUND(Долги!$D$19-SUM($AL142:$AU142),2)-(SUM($H142:N142)-SUM($AL142:AR142)),2)))</f>
        <v>0.0</v>
      </c>
      <c r="P142" s="31">
        <f>AT142+MIN(Z141+AJ142-AT142,MAX(0,ROUND(ROUND(Долги!$D$19-SUM($AL142:$AU142),2)-(SUM($H142:O142)-SUM($AL142:AS142)),2)))</f>
        <v>0.0</v>
      </c>
      <c r="Q142" s="31">
        <f>AU142+MIN(AA141+AK142-AU142,MAX(0,ROUND(ROUND(Долги!$D$19-SUM($AL142:$AU142),2)-(SUM($H142:P142)-SUM($AL142:AT142)),2)))</f>
        <v>0.0</v>
      </c>
      <c r="R142" s="31">
        <f>IF(R141+AB142-H142&lt;=0.01,0,ROUND(R141+AB142-H142,2))</f>
        <v>0.0</v>
      </c>
      <c r="S142" s="31">
        <f>IF(S141+AC142-I142&lt;=0.01,0,ROUND(S141+AC142-I142,2))</f>
        <v>0.0</v>
      </c>
      <c r="T142" s="31">
        <f>IF(T141+AD142-J142&lt;=0.01,0,ROUND(T141+AD142-J142,2))</f>
        <v>0.0</v>
      </c>
      <c r="U142" s="31">
        <f>IF(U141+AE142-K142&lt;=0.01,0,ROUND(U141+AE142-K142,2))</f>
        <v>0.0</v>
      </c>
      <c r="V142" s="31">
        <f>IF(V141+AF142-L142&lt;=0.01,0,ROUND(V141+AF142-L142,2))</f>
        <v>0.0</v>
      </c>
      <c r="W142" s="31">
        <f>IF(W141+AG142-M142&lt;=0.01,0,ROUND(W141+AG142-M142,2))</f>
        <v>0.0</v>
      </c>
      <c r="X142" s="31">
        <f>IF(X141+AH142-N142&lt;=0.01,0,ROUND(X141+AH142-N142,2))</f>
        <v>0.0</v>
      </c>
      <c r="Y142" s="31">
        <f>IF(Y141+AI142-O142&lt;=0.01,0,ROUND(Y141+AI142-O142,2))</f>
        <v>0.0</v>
      </c>
      <c r="Z142" s="31">
        <f>IF(Z141+AJ142-P142&lt;=0.01,0,ROUND(Z141+AJ142-P142,2))</f>
        <v>0.0</v>
      </c>
      <c r="AA142" s="31">
        <f>IF(AA141+AK142-Q142&lt;=0.01,0,ROUND(AA141+AK142-Q142,2))</f>
        <v>0.0</v>
      </c>
      <c r="AB142" s="31">
        <f>ROUND(R141*AB$5/1200,2)</f>
        <v>0.0</v>
      </c>
      <c r="AC142" s="31">
        <f>ROUND(S141*AC$5/1200,2)</f>
        <v>0.0</v>
      </c>
      <c r="AD142" s="31">
        <f>ROUND(T141*AD$5/1200,2)</f>
        <v>0.0</v>
      </c>
      <c r="AE142" s="31">
        <f>ROUND(U141*AE$5/1200,2)</f>
        <v>0.0</v>
      </c>
      <c r="AF142" s="31">
        <f>ROUND(V141*AF$5/1200,2)</f>
        <v>0.0</v>
      </c>
      <c r="AG142" s="31">
        <f>ROUND(W141*AG$5/1200,2)</f>
        <v>0.0</v>
      </c>
      <c r="AH142" s="31">
        <f>ROUND(X141*AH$5/1200,2)</f>
        <v>0.0</v>
      </c>
      <c r="AI142" s="31">
        <f>ROUND(Y141*AI$5/1200,2)</f>
        <v>0.0</v>
      </c>
      <c r="AJ142" s="31">
        <f>ROUND(Z141*AJ$5/1200,2)</f>
        <v>0.0</v>
      </c>
      <c r="AK142" s="31">
        <f>ROUND(AA141*AK$5/1200,2)</f>
        <v>0.0</v>
      </c>
      <c r="AL142" s="31">
        <f>MIN(AL$5,R141+AB142)</f>
        <v>0.0</v>
      </c>
      <c r="AM142" s="31">
        <f>MIN(AM$5,S141+AC142)</f>
        <v>0.0</v>
      </c>
      <c r="AN142" s="31">
        <f>MIN(AN$5,T141+AD142)</f>
        <v>0.0</v>
      </c>
      <c r="AO142" s="31">
        <f>MIN(AO$5,U141+AE142)</f>
        <v>0.0</v>
      </c>
      <c r="AP142" s="31">
        <f>MIN(AP$5,V141+AF142)</f>
        <v>0.0</v>
      </c>
      <c r="AQ142" s="31">
        <f>MIN(AQ$5,W141+AG142)</f>
        <v>0.0</v>
      </c>
      <c r="AR142" s="31">
        <f>MIN(AR$5,X141+AH142)</f>
        <v>0.0</v>
      </c>
      <c r="AS142" s="31">
        <f>MIN(AS$5,Y141+AI142)</f>
        <v>0.0</v>
      </c>
      <c r="AT142" s="31">
        <f>MIN(AT$5,Z141+AJ142)</f>
        <v>0.0</v>
      </c>
      <c r="AU142" s="31">
        <f>MIN(AU$5,AA141+AK142)</f>
        <v>0.0</v>
      </c>
    </row>
    <row r="143">
      <c r="A143" s="25" t="str">
        <f>IF(F142&gt;0.005,138,"")</f>
        <v/>
      </c>
      <c r="B143" s="33" t="str">
        <f>IF(A143="","",EDATE(Долги!$D$5,137))</f>
        <v/>
      </c>
      <c r="C143" s="31">
        <f>SUM(H143:Q143)</f>
        <v>0.0</v>
      </c>
      <c r="D143" s="31">
        <f>SUM(AB143:AK143)</f>
        <v>0.0</v>
      </c>
      <c r="E143" s="31">
        <f>C143-D143</f>
        <v>0.0</v>
      </c>
      <c r="F143" s="31">
        <f>SUM(R143:AA143)</f>
        <v>0.0</v>
      </c>
      <c r="G143" s="34" t="str">
        <f>IF(OR(A143="",$F$5&lt;=0),"",REPT("█",ROUND(20*F143/$F$5,0)))</f>
        <v/>
      </c>
      <c r="H143" s="31">
        <f>AL143+MIN(R142+AB143-AL143,MAX(0,ROUND(Долги!$D$19-SUM($AL143:$AU143),2)))</f>
        <v>0.0</v>
      </c>
      <c r="I143" s="31">
        <f>AM143+MIN(S142+AC143-AM143,MAX(0,ROUND(ROUND(Долги!$D$19-SUM($AL143:$AU143),2)-(SUM($H143:H143)-SUM($AL143:AL143)),2)))</f>
        <v>0.0</v>
      </c>
      <c r="J143" s="31">
        <f>AN143+MIN(T142+AD143-AN143,MAX(0,ROUND(ROUND(Долги!$D$19-SUM($AL143:$AU143),2)-(SUM($H143:I143)-SUM($AL143:AM143)),2)))</f>
        <v>0.0</v>
      </c>
      <c r="K143" s="31">
        <f>AO143+MIN(U142+AE143-AO143,MAX(0,ROUND(ROUND(Долги!$D$19-SUM($AL143:$AU143),2)-(SUM($H143:J143)-SUM($AL143:AN143)),2)))</f>
        <v>0.0</v>
      </c>
      <c r="L143" s="31">
        <f>AP143+MIN(V142+AF143-AP143,MAX(0,ROUND(ROUND(Долги!$D$19-SUM($AL143:$AU143),2)-(SUM($H143:K143)-SUM($AL143:AO143)),2)))</f>
        <v>0.0</v>
      </c>
      <c r="M143" s="31">
        <f>AQ143+MIN(W142+AG143-AQ143,MAX(0,ROUND(ROUND(Долги!$D$19-SUM($AL143:$AU143),2)-(SUM($H143:L143)-SUM($AL143:AP143)),2)))</f>
        <v>0.0</v>
      </c>
      <c r="N143" s="31">
        <f>AR143+MIN(X142+AH143-AR143,MAX(0,ROUND(ROUND(Долги!$D$19-SUM($AL143:$AU143),2)-(SUM($H143:M143)-SUM($AL143:AQ143)),2)))</f>
        <v>0.0</v>
      </c>
      <c r="O143" s="31">
        <f>AS143+MIN(Y142+AI143-AS143,MAX(0,ROUND(ROUND(Долги!$D$19-SUM($AL143:$AU143),2)-(SUM($H143:N143)-SUM($AL143:AR143)),2)))</f>
        <v>0.0</v>
      </c>
      <c r="P143" s="31">
        <f>AT143+MIN(Z142+AJ143-AT143,MAX(0,ROUND(ROUND(Долги!$D$19-SUM($AL143:$AU143),2)-(SUM($H143:O143)-SUM($AL143:AS143)),2)))</f>
        <v>0.0</v>
      </c>
      <c r="Q143" s="31">
        <f>AU143+MIN(AA142+AK143-AU143,MAX(0,ROUND(ROUND(Долги!$D$19-SUM($AL143:$AU143),2)-(SUM($H143:P143)-SUM($AL143:AT143)),2)))</f>
        <v>0.0</v>
      </c>
      <c r="R143" s="31">
        <f>IF(R142+AB143-H143&lt;=0.01,0,ROUND(R142+AB143-H143,2))</f>
        <v>0.0</v>
      </c>
      <c r="S143" s="31">
        <f>IF(S142+AC143-I143&lt;=0.01,0,ROUND(S142+AC143-I143,2))</f>
        <v>0.0</v>
      </c>
      <c r="T143" s="31">
        <f>IF(T142+AD143-J143&lt;=0.01,0,ROUND(T142+AD143-J143,2))</f>
        <v>0.0</v>
      </c>
      <c r="U143" s="31">
        <f>IF(U142+AE143-K143&lt;=0.01,0,ROUND(U142+AE143-K143,2))</f>
        <v>0.0</v>
      </c>
      <c r="V143" s="31">
        <f>IF(V142+AF143-L143&lt;=0.01,0,ROUND(V142+AF143-L143,2))</f>
        <v>0.0</v>
      </c>
      <c r="W143" s="31">
        <f>IF(W142+AG143-M143&lt;=0.01,0,ROUND(W142+AG143-M143,2))</f>
        <v>0.0</v>
      </c>
      <c r="X143" s="31">
        <f>IF(X142+AH143-N143&lt;=0.01,0,ROUND(X142+AH143-N143,2))</f>
        <v>0.0</v>
      </c>
      <c r="Y143" s="31">
        <f>IF(Y142+AI143-O143&lt;=0.01,0,ROUND(Y142+AI143-O143,2))</f>
        <v>0.0</v>
      </c>
      <c r="Z143" s="31">
        <f>IF(Z142+AJ143-P143&lt;=0.01,0,ROUND(Z142+AJ143-P143,2))</f>
        <v>0.0</v>
      </c>
      <c r="AA143" s="31">
        <f>IF(AA142+AK143-Q143&lt;=0.01,0,ROUND(AA142+AK143-Q143,2))</f>
        <v>0.0</v>
      </c>
      <c r="AB143" s="31">
        <f>ROUND(R142*AB$5/1200,2)</f>
        <v>0.0</v>
      </c>
      <c r="AC143" s="31">
        <f>ROUND(S142*AC$5/1200,2)</f>
        <v>0.0</v>
      </c>
      <c r="AD143" s="31">
        <f>ROUND(T142*AD$5/1200,2)</f>
        <v>0.0</v>
      </c>
      <c r="AE143" s="31">
        <f>ROUND(U142*AE$5/1200,2)</f>
        <v>0.0</v>
      </c>
      <c r="AF143" s="31">
        <f>ROUND(V142*AF$5/1200,2)</f>
        <v>0.0</v>
      </c>
      <c r="AG143" s="31">
        <f>ROUND(W142*AG$5/1200,2)</f>
        <v>0.0</v>
      </c>
      <c r="AH143" s="31">
        <f>ROUND(X142*AH$5/1200,2)</f>
        <v>0.0</v>
      </c>
      <c r="AI143" s="31">
        <f>ROUND(Y142*AI$5/1200,2)</f>
        <v>0.0</v>
      </c>
      <c r="AJ143" s="31">
        <f>ROUND(Z142*AJ$5/1200,2)</f>
        <v>0.0</v>
      </c>
      <c r="AK143" s="31">
        <f>ROUND(AA142*AK$5/1200,2)</f>
        <v>0.0</v>
      </c>
      <c r="AL143" s="31">
        <f>MIN(AL$5,R142+AB143)</f>
        <v>0.0</v>
      </c>
      <c r="AM143" s="31">
        <f>MIN(AM$5,S142+AC143)</f>
        <v>0.0</v>
      </c>
      <c r="AN143" s="31">
        <f>MIN(AN$5,T142+AD143)</f>
        <v>0.0</v>
      </c>
      <c r="AO143" s="31">
        <f>MIN(AO$5,U142+AE143)</f>
        <v>0.0</v>
      </c>
      <c r="AP143" s="31">
        <f>MIN(AP$5,V142+AF143)</f>
        <v>0.0</v>
      </c>
      <c r="AQ143" s="31">
        <f>MIN(AQ$5,W142+AG143)</f>
        <v>0.0</v>
      </c>
      <c r="AR143" s="31">
        <f>MIN(AR$5,X142+AH143)</f>
        <v>0.0</v>
      </c>
      <c r="AS143" s="31">
        <f>MIN(AS$5,Y142+AI143)</f>
        <v>0.0</v>
      </c>
      <c r="AT143" s="31">
        <f>MIN(AT$5,Z142+AJ143)</f>
        <v>0.0</v>
      </c>
      <c r="AU143" s="31">
        <f>MIN(AU$5,AA142+AK143)</f>
        <v>0.0</v>
      </c>
    </row>
    <row r="144">
      <c r="A144" s="25" t="str">
        <f>IF(F143&gt;0.005,139,"")</f>
        <v/>
      </c>
      <c r="B144" s="33" t="str">
        <f>IF(A144="","",EDATE(Долги!$D$5,138))</f>
        <v/>
      </c>
      <c r="C144" s="31">
        <f>SUM(H144:Q144)</f>
        <v>0.0</v>
      </c>
      <c r="D144" s="31">
        <f>SUM(AB144:AK144)</f>
        <v>0.0</v>
      </c>
      <c r="E144" s="31">
        <f>C144-D144</f>
        <v>0.0</v>
      </c>
      <c r="F144" s="31">
        <f>SUM(R144:AA144)</f>
        <v>0.0</v>
      </c>
      <c r="G144" s="34" t="str">
        <f>IF(OR(A144="",$F$5&lt;=0),"",REPT("█",ROUND(20*F144/$F$5,0)))</f>
        <v/>
      </c>
      <c r="H144" s="31">
        <f>AL144+MIN(R143+AB144-AL144,MAX(0,ROUND(Долги!$D$19-SUM($AL144:$AU144),2)))</f>
        <v>0.0</v>
      </c>
      <c r="I144" s="31">
        <f>AM144+MIN(S143+AC144-AM144,MAX(0,ROUND(ROUND(Долги!$D$19-SUM($AL144:$AU144),2)-(SUM($H144:H144)-SUM($AL144:AL144)),2)))</f>
        <v>0.0</v>
      </c>
      <c r="J144" s="31">
        <f>AN144+MIN(T143+AD144-AN144,MAX(0,ROUND(ROUND(Долги!$D$19-SUM($AL144:$AU144),2)-(SUM($H144:I144)-SUM($AL144:AM144)),2)))</f>
        <v>0.0</v>
      </c>
      <c r="K144" s="31">
        <f>AO144+MIN(U143+AE144-AO144,MAX(0,ROUND(ROUND(Долги!$D$19-SUM($AL144:$AU144),2)-(SUM($H144:J144)-SUM($AL144:AN144)),2)))</f>
        <v>0.0</v>
      </c>
      <c r="L144" s="31">
        <f>AP144+MIN(V143+AF144-AP144,MAX(0,ROUND(ROUND(Долги!$D$19-SUM($AL144:$AU144),2)-(SUM($H144:K144)-SUM($AL144:AO144)),2)))</f>
        <v>0.0</v>
      </c>
      <c r="M144" s="31">
        <f>AQ144+MIN(W143+AG144-AQ144,MAX(0,ROUND(ROUND(Долги!$D$19-SUM($AL144:$AU144),2)-(SUM($H144:L144)-SUM($AL144:AP144)),2)))</f>
        <v>0.0</v>
      </c>
      <c r="N144" s="31">
        <f>AR144+MIN(X143+AH144-AR144,MAX(0,ROUND(ROUND(Долги!$D$19-SUM($AL144:$AU144),2)-(SUM($H144:M144)-SUM($AL144:AQ144)),2)))</f>
        <v>0.0</v>
      </c>
      <c r="O144" s="31">
        <f>AS144+MIN(Y143+AI144-AS144,MAX(0,ROUND(ROUND(Долги!$D$19-SUM($AL144:$AU144),2)-(SUM($H144:N144)-SUM($AL144:AR144)),2)))</f>
        <v>0.0</v>
      </c>
      <c r="P144" s="31">
        <f>AT144+MIN(Z143+AJ144-AT144,MAX(0,ROUND(ROUND(Долги!$D$19-SUM($AL144:$AU144),2)-(SUM($H144:O144)-SUM($AL144:AS144)),2)))</f>
        <v>0.0</v>
      </c>
      <c r="Q144" s="31">
        <f>AU144+MIN(AA143+AK144-AU144,MAX(0,ROUND(ROUND(Долги!$D$19-SUM($AL144:$AU144),2)-(SUM($H144:P144)-SUM($AL144:AT144)),2)))</f>
        <v>0.0</v>
      </c>
      <c r="R144" s="31">
        <f>IF(R143+AB144-H144&lt;=0.01,0,ROUND(R143+AB144-H144,2))</f>
        <v>0.0</v>
      </c>
      <c r="S144" s="31">
        <f>IF(S143+AC144-I144&lt;=0.01,0,ROUND(S143+AC144-I144,2))</f>
        <v>0.0</v>
      </c>
      <c r="T144" s="31">
        <f>IF(T143+AD144-J144&lt;=0.01,0,ROUND(T143+AD144-J144,2))</f>
        <v>0.0</v>
      </c>
      <c r="U144" s="31">
        <f>IF(U143+AE144-K144&lt;=0.01,0,ROUND(U143+AE144-K144,2))</f>
        <v>0.0</v>
      </c>
      <c r="V144" s="31">
        <f>IF(V143+AF144-L144&lt;=0.01,0,ROUND(V143+AF144-L144,2))</f>
        <v>0.0</v>
      </c>
      <c r="W144" s="31">
        <f>IF(W143+AG144-M144&lt;=0.01,0,ROUND(W143+AG144-M144,2))</f>
        <v>0.0</v>
      </c>
      <c r="X144" s="31">
        <f>IF(X143+AH144-N144&lt;=0.01,0,ROUND(X143+AH144-N144,2))</f>
        <v>0.0</v>
      </c>
      <c r="Y144" s="31">
        <f>IF(Y143+AI144-O144&lt;=0.01,0,ROUND(Y143+AI144-O144,2))</f>
        <v>0.0</v>
      </c>
      <c r="Z144" s="31">
        <f>IF(Z143+AJ144-P144&lt;=0.01,0,ROUND(Z143+AJ144-P144,2))</f>
        <v>0.0</v>
      </c>
      <c r="AA144" s="31">
        <f>IF(AA143+AK144-Q144&lt;=0.01,0,ROUND(AA143+AK144-Q144,2))</f>
        <v>0.0</v>
      </c>
      <c r="AB144" s="31">
        <f>ROUND(R143*AB$5/1200,2)</f>
        <v>0.0</v>
      </c>
      <c r="AC144" s="31">
        <f>ROUND(S143*AC$5/1200,2)</f>
        <v>0.0</v>
      </c>
      <c r="AD144" s="31">
        <f>ROUND(T143*AD$5/1200,2)</f>
        <v>0.0</v>
      </c>
      <c r="AE144" s="31">
        <f>ROUND(U143*AE$5/1200,2)</f>
        <v>0.0</v>
      </c>
      <c r="AF144" s="31">
        <f>ROUND(V143*AF$5/1200,2)</f>
        <v>0.0</v>
      </c>
      <c r="AG144" s="31">
        <f>ROUND(W143*AG$5/1200,2)</f>
        <v>0.0</v>
      </c>
      <c r="AH144" s="31">
        <f>ROUND(X143*AH$5/1200,2)</f>
        <v>0.0</v>
      </c>
      <c r="AI144" s="31">
        <f>ROUND(Y143*AI$5/1200,2)</f>
        <v>0.0</v>
      </c>
      <c r="AJ144" s="31">
        <f>ROUND(Z143*AJ$5/1200,2)</f>
        <v>0.0</v>
      </c>
      <c r="AK144" s="31">
        <f>ROUND(AA143*AK$5/1200,2)</f>
        <v>0.0</v>
      </c>
      <c r="AL144" s="31">
        <f>MIN(AL$5,R143+AB144)</f>
        <v>0.0</v>
      </c>
      <c r="AM144" s="31">
        <f>MIN(AM$5,S143+AC144)</f>
        <v>0.0</v>
      </c>
      <c r="AN144" s="31">
        <f>MIN(AN$5,T143+AD144)</f>
        <v>0.0</v>
      </c>
      <c r="AO144" s="31">
        <f>MIN(AO$5,U143+AE144)</f>
        <v>0.0</v>
      </c>
      <c r="AP144" s="31">
        <f>MIN(AP$5,V143+AF144)</f>
        <v>0.0</v>
      </c>
      <c r="AQ144" s="31">
        <f>MIN(AQ$5,W143+AG144)</f>
        <v>0.0</v>
      </c>
      <c r="AR144" s="31">
        <f>MIN(AR$5,X143+AH144)</f>
        <v>0.0</v>
      </c>
      <c r="AS144" s="31">
        <f>MIN(AS$5,Y143+AI144)</f>
        <v>0.0</v>
      </c>
      <c r="AT144" s="31">
        <f>MIN(AT$5,Z143+AJ144)</f>
        <v>0.0</v>
      </c>
      <c r="AU144" s="31">
        <f>MIN(AU$5,AA143+AK144)</f>
        <v>0.0</v>
      </c>
    </row>
    <row r="145">
      <c r="A145" s="25" t="str">
        <f>IF(F144&gt;0.005,140,"")</f>
        <v/>
      </c>
      <c r="B145" s="33" t="str">
        <f>IF(A145="","",EDATE(Долги!$D$5,139))</f>
        <v/>
      </c>
      <c r="C145" s="31">
        <f>SUM(H145:Q145)</f>
        <v>0.0</v>
      </c>
      <c r="D145" s="31">
        <f>SUM(AB145:AK145)</f>
        <v>0.0</v>
      </c>
      <c r="E145" s="31">
        <f>C145-D145</f>
        <v>0.0</v>
      </c>
      <c r="F145" s="31">
        <f>SUM(R145:AA145)</f>
        <v>0.0</v>
      </c>
      <c r="G145" s="34" t="str">
        <f>IF(OR(A145="",$F$5&lt;=0),"",REPT("█",ROUND(20*F145/$F$5,0)))</f>
        <v/>
      </c>
      <c r="H145" s="31">
        <f>AL145+MIN(R144+AB145-AL145,MAX(0,ROUND(Долги!$D$19-SUM($AL145:$AU145),2)))</f>
        <v>0.0</v>
      </c>
      <c r="I145" s="31">
        <f>AM145+MIN(S144+AC145-AM145,MAX(0,ROUND(ROUND(Долги!$D$19-SUM($AL145:$AU145),2)-(SUM($H145:H145)-SUM($AL145:AL145)),2)))</f>
        <v>0.0</v>
      </c>
      <c r="J145" s="31">
        <f>AN145+MIN(T144+AD145-AN145,MAX(0,ROUND(ROUND(Долги!$D$19-SUM($AL145:$AU145),2)-(SUM($H145:I145)-SUM($AL145:AM145)),2)))</f>
        <v>0.0</v>
      </c>
      <c r="K145" s="31">
        <f>AO145+MIN(U144+AE145-AO145,MAX(0,ROUND(ROUND(Долги!$D$19-SUM($AL145:$AU145),2)-(SUM($H145:J145)-SUM($AL145:AN145)),2)))</f>
        <v>0.0</v>
      </c>
      <c r="L145" s="31">
        <f>AP145+MIN(V144+AF145-AP145,MAX(0,ROUND(ROUND(Долги!$D$19-SUM($AL145:$AU145),2)-(SUM($H145:K145)-SUM($AL145:AO145)),2)))</f>
        <v>0.0</v>
      </c>
      <c r="M145" s="31">
        <f>AQ145+MIN(W144+AG145-AQ145,MAX(0,ROUND(ROUND(Долги!$D$19-SUM($AL145:$AU145),2)-(SUM($H145:L145)-SUM($AL145:AP145)),2)))</f>
        <v>0.0</v>
      </c>
      <c r="N145" s="31">
        <f>AR145+MIN(X144+AH145-AR145,MAX(0,ROUND(ROUND(Долги!$D$19-SUM($AL145:$AU145),2)-(SUM($H145:M145)-SUM($AL145:AQ145)),2)))</f>
        <v>0.0</v>
      </c>
      <c r="O145" s="31">
        <f>AS145+MIN(Y144+AI145-AS145,MAX(0,ROUND(ROUND(Долги!$D$19-SUM($AL145:$AU145),2)-(SUM($H145:N145)-SUM($AL145:AR145)),2)))</f>
        <v>0.0</v>
      </c>
      <c r="P145" s="31">
        <f>AT145+MIN(Z144+AJ145-AT145,MAX(0,ROUND(ROUND(Долги!$D$19-SUM($AL145:$AU145),2)-(SUM($H145:O145)-SUM($AL145:AS145)),2)))</f>
        <v>0.0</v>
      </c>
      <c r="Q145" s="31">
        <f>AU145+MIN(AA144+AK145-AU145,MAX(0,ROUND(ROUND(Долги!$D$19-SUM($AL145:$AU145),2)-(SUM($H145:P145)-SUM($AL145:AT145)),2)))</f>
        <v>0.0</v>
      </c>
      <c r="R145" s="31">
        <f>IF(R144+AB145-H145&lt;=0.01,0,ROUND(R144+AB145-H145,2))</f>
        <v>0.0</v>
      </c>
      <c r="S145" s="31">
        <f>IF(S144+AC145-I145&lt;=0.01,0,ROUND(S144+AC145-I145,2))</f>
        <v>0.0</v>
      </c>
      <c r="T145" s="31">
        <f>IF(T144+AD145-J145&lt;=0.01,0,ROUND(T144+AD145-J145,2))</f>
        <v>0.0</v>
      </c>
      <c r="U145" s="31">
        <f>IF(U144+AE145-K145&lt;=0.01,0,ROUND(U144+AE145-K145,2))</f>
        <v>0.0</v>
      </c>
      <c r="V145" s="31">
        <f>IF(V144+AF145-L145&lt;=0.01,0,ROUND(V144+AF145-L145,2))</f>
        <v>0.0</v>
      </c>
      <c r="W145" s="31">
        <f>IF(W144+AG145-M145&lt;=0.01,0,ROUND(W144+AG145-M145,2))</f>
        <v>0.0</v>
      </c>
      <c r="X145" s="31">
        <f>IF(X144+AH145-N145&lt;=0.01,0,ROUND(X144+AH145-N145,2))</f>
        <v>0.0</v>
      </c>
      <c r="Y145" s="31">
        <f>IF(Y144+AI145-O145&lt;=0.01,0,ROUND(Y144+AI145-O145,2))</f>
        <v>0.0</v>
      </c>
      <c r="Z145" s="31">
        <f>IF(Z144+AJ145-P145&lt;=0.01,0,ROUND(Z144+AJ145-P145,2))</f>
        <v>0.0</v>
      </c>
      <c r="AA145" s="31">
        <f>IF(AA144+AK145-Q145&lt;=0.01,0,ROUND(AA144+AK145-Q145,2))</f>
        <v>0.0</v>
      </c>
      <c r="AB145" s="31">
        <f>ROUND(R144*AB$5/1200,2)</f>
        <v>0.0</v>
      </c>
      <c r="AC145" s="31">
        <f>ROUND(S144*AC$5/1200,2)</f>
        <v>0.0</v>
      </c>
      <c r="AD145" s="31">
        <f>ROUND(T144*AD$5/1200,2)</f>
        <v>0.0</v>
      </c>
      <c r="AE145" s="31">
        <f>ROUND(U144*AE$5/1200,2)</f>
        <v>0.0</v>
      </c>
      <c r="AF145" s="31">
        <f>ROUND(V144*AF$5/1200,2)</f>
        <v>0.0</v>
      </c>
      <c r="AG145" s="31">
        <f>ROUND(W144*AG$5/1200,2)</f>
        <v>0.0</v>
      </c>
      <c r="AH145" s="31">
        <f>ROUND(X144*AH$5/1200,2)</f>
        <v>0.0</v>
      </c>
      <c r="AI145" s="31">
        <f>ROUND(Y144*AI$5/1200,2)</f>
        <v>0.0</v>
      </c>
      <c r="AJ145" s="31">
        <f>ROUND(Z144*AJ$5/1200,2)</f>
        <v>0.0</v>
      </c>
      <c r="AK145" s="31">
        <f>ROUND(AA144*AK$5/1200,2)</f>
        <v>0.0</v>
      </c>
      <c r="AL145" s="31">
        <f>MIN(AL$5,R144+AB145)</f>
        <v>0.0</v>
      </c>
      <c r="AM145" s="31">
        <f>MIN(AM$5,S144+AC145)</f>
        <v>0.0</v>
      </c>
      <c r="AN145" s="31">
        <f>MIN(AN$5,T144+AD145)</f>
        <v>0.0</v>
      </c>
      <c r="AO145" s="31">
        <f>MIN(AO$5,U144+AE145)</f>
        <v>0.0</v>
      </c>
      <c r="AP145" s="31">
        <f>MIN(AP$5,V144+AF145)</f>
        <v>0.0</v>
      </c>
      <c r="AQ145" s="31">
        <f>MIN(AQ$5,W144+AG145)</f>
        <v>0.0</v>
      </c>
      <c r="AR145" s="31">
        <f>MIN(AR$5,X144+AH145)</f>
        <v>0.0</v>
      </c>
      <c r="AS145" s="31">
        <f>MIN(AS$5,Y144+AI145)</f>
        <v>0.0</v>
      </c>
      <c r="AT145" s="31">
        <f>MIN(AT$5,Z144+AJ145)</f>
        <v>0.0</v>
      </c>
      <c r="AU145" s="31">
        <f>MIN(AU$5,AA144+AK145)</f>
        <v>0.0</v>
      </c>
    </row>
    <row r="146">
      <c r="A146" s="25" t="str">
        <f>IF(F145&gt;0.005,141,"")</f>
        <v/>
      </c>
      <c r="B146" s="33" t="str">
        <f>IF(A146="","",EDATE(Долги!$D$5,140))</f>
        <v/>
      </c>
      <c r="C146" s="31">
        <f>SUM(H146:Q146)</f>
        <v>0.0</v>
      </c>
      <c r="D146" s="31">
        <f>SUM(AB146:AK146)</f>
        <v>0.0</v>
      </c>
      <c r="E146" s="31">
        <f>C146-D146</f>
        <v>0.0</v>
      </c>
      <c r="F146" s="31">
        <f>SUM(R146:AA146)</f>
        <v>0.0</v>
      </c>
      <c r="G146" s="34" t="str">
        <f>IF(OR(A146="",$F$5&lt;=0),"",REPT("█",ROUND(20*F146/$F$5,0)))</f>
        <v/>
      </c>
      <c r="H146" s="31">
        <f>AL146+MIN(R145+AB146-AL146,MAX(0,ROUND(Долги!$D$19-SUM($AL146:$AU146),2)))</f>
        <v>0.0</v>
      </c>
      <c r="I146" s="31">
        <f>AM146+MIN(S145+AC146-AM146,MAX(0,ROUND(ROUND(Долги!$D$19-SUM($AL146:$AU146),2)-(SUM($H146:H146)-SUM($AL146:AL146)),2)))</f>
        <v>0.0</v>
      </c>
      <c r="J146" s="31">
        <f>AN146+MIN(T145+AD146-AN146,MAX(0,ROUND(ROUND(Долги!$D$19-SUM($AL146:$AU146),2)-(SUM($H146:I146)-SUM($AL146:AM146)),2)))</f>
        <v>0.0</v>
      </c>
      <c r="K146" s="31">
        <f>AO146+MIN(U145+AE146-AO146,MAX(0,ROUND(ROUND(Долги!$D$19-SUM($AL146:$AU146),2)-(SUM($H146:J146)-SUM($AL146:AN146)),2)))</f>
        <v>0.0</v>
      </c>
      <c r="L146" s="31">
        <f>AP146+MIN(V145+AF146-AP146,MAX(0,ROUND(ROUND(Долги!$D$19-SUM($AL146:$AU146),2)-(SUM($H146:K146)-SUM($AL146:AO146)),2)))</f>
        <v>0.0</v>
      </c>
      <c r="M146" s="31">
        <f>AQ146+MIN(W145+AG146-AQ146,MAX(0,ROUND(ROUND(Долги!$D$19-SUM($AL146:$AU146),2)-(SUM($H146:L146)-SUM($AL146:AP146)),2)))</f>
        <v>0.0</v>
      </c>
      <c r="N146" s="31">
        <f>AR146+MIN(X145+AH146-AR146,MAX(0,ROUND(ROUND(Долги!$D$19-SUM($AL146:$AU146),2)-(SUM($H146:M146)-SUM($AL146:AQ146)),2)))</f>
        <v>0.0</v>
      </c>
      <c r="O146" s="31">
        <f>AS146+MIN(Y145+AI146-AS146,MAX(0,ROUND(ROUND(Долги!$D$19-SUM($AL146:$AU146),2)-(SUM($H146:N146)-SUM($AL146:AR146)),2)))</f>
        <v>0.0</v>
      </c>
      <c r="P146" s="31">
        <f>AT146+MIN(Z145+AJ146-AT146,MAX(0,ROUND(ROUND(Долги!$D$19-SUM($AL146:$AU146),2)-(SUM($H146:O146)-SUM($AL146:AS146)),2)))</f>
        <v>0.0</v>
      </c>
      <c r="Q146" s="31">
        <f>AU146+MIN(AA145+AK146-AU146,MAX(0,ROUND(ROUND(Долги!$D$19-SUM($AL146:$AU146),2)-(SUM($H146:P146)-SUM($AL146:AT146)),2)))</f>
        <v>0.0</v>
      </c>
      <c r="R146" s="31">
        <f>IF(R145+AB146-H146&lt;=0.01,0,ROUND(R145+AB146-H146,2))</f>
        <v>0.0</v>
      </c>
      <c r="S146" s="31">
        <f>IF(S145+AC146-I146&lt;=0.01,0,ROUND(S145+AC146-I146,2))</f>
        <v>0.0</v>
      </c>
      <c r="T146" s="31">
        <f>IF(T145+AD146-J146&lt;=0.01,0,ROUND(T145+AD146-J146,2))</f>
        <v>0.0</v>
      </c>
      <c r="U146" s="31">
        <f>IF(U145+AE146-K146&lt;=0.01,0,ROUND(U145+AE146-K146,2))</f>
        <v>0.0</v>
      </c>
      <c r="V146" s="31">
        <f>IF(V145+AF146-L146&lt;=0.01,0,ROUND(V145+AF146-L146,2))</f>
        <v>0.0</v>
      </c>
      <c r="W146" s="31">
        <f>IF(W145+AG146-M146&lt;=0.01,0,ROUND(W145+AG146-M146,2))</f>
        <v>0.0</v>
      </c>
      <c r="X146" s="31">
        <f>IF(X145+AH146-N146&lt;=0.01,0,ROUND(X145+AH146-N146,2))</f>
        <v>0.0</v>
      </c>
      <c r="Y146" s="31">
        <f>IF(Y145+AI146-O146&lt;=0.01,0,ROUND(Y145+AI146-O146,2))</f>
        <v>0.0</v>
      </c>
      <c r="Z146" s="31">
        <f>IF(Z145+AJ146-P146&lt;=0.01,0,ROUND(Z145+AJ146-P146,2))</f>
        <v>0.0</v>
      </c>
      <c r="AA146" s="31">
        <f>IF(AA145+AK146-Q146&lt;=0.01,0,ROUND(AA145+AK146-Q146,2))</f>
        <v>0.0</v>
      </c>
      <c r="AB146" s="31">
        <f>ROUND(R145*AB$5/1200,2)</f>
        <v>0.0</v>
      </c>
      <c r="AC146" s="31">
        <f>ROUND(S145*AC$5/1200,2)</f>
        <v>0.0</v>
      </c>
      <c r="AD146" s="31">
        <f>ROUND(T145*AD$5/1200,2)</f>
        <v>0.0</v>
      </c>
      <c r="AE146" s="31">
        <f>ROUND(U145*AE$5/1200,2)</f>
        <v>0.0</v>
      </c>
      <c r="AF146" s="31">
        <f>ROUND(V145*AF$5/1200,2)</f>
        <v>0.0</v>
      </c>
      <c r="AG146" s="31">
        <f>ROUND(W145*AG$5/1200,2)</f>
        <v>0.0</v>
      </c>
      <c r="AH146" s="31">
        <f>ROUND(X145*AH$5/1200,2)</f>
        <v>0.0</v>
      </c>
      <c r="AI146" s="31">
        <f>ROUND(Y145*AI$5/1200,2)</f>
        <v>0.0</v>
      </c>
      <c r="AJ146" s="31">
        <f>ROUND(Z145*AJ$5/1200,2)</f>
        <v>0.0</v>
      </c>
      <c r="AK146" s="31">
        <f>ROUND(AA145*AK$5/1200,2)</f>
        <v>0.0</v>
      </c>
      <c r="AL146" s="31">
        <f>MIN(AL$5,R145+AB146)</f>
        <v>0.0</v>
      </c>
      <c r="AM146" s="31">
        <f>MIN(AM$5,S145+AC146)</f>
        <v>0.0</v>
      </c>
      <c r="AN146" s="31">
        <f>MIN(AN$5,T145+AD146)</f>
        <v>0.0</v>
      </c>
      <c r="AO146" s="31">
        <f>MIN(AO$5,U145+AE146)</f>
        <v>0.0</v>
      </c>
      <c r="AP146" s="31">
        <f>MIN(AP$5,V145+AF146)</f>
        <v>0.0</v>
      </c>
      <c r="AQ146" s="31">
        <f>MIN(AQ$5,W145+AG146)</f>
        <v>0.0</v>
      </c>
      <c r="AR146" s="31">
        <f>MIN(AR$5,X145+AH146)</f>
        <v>0.0</v>
      </c>
      <c r="AS146" s="31">
        <f>MIN(AS$5,Y145+AI146)</f>
        <v>0.0</v>
      </c>
      <c r="AT146" s="31">
        <f>MIN(AT$5,Z145+AJ146)</f>
        <v>0.0</v>
      </c>
      <c r="AU146" s="31">
        <f>MIN(AU$5,AA145+AK146)</f>
        <v>0.0</v>
      </c>
    </row>
    <row r="147">
      <c r="A147" s="25" t="str">
        <f>IF(F146&gt;0.005,142,"")</f>
        <v/>
      </c>
      <c r="B147" s="33" t="str">
        <f>IF(A147="","",EDATE(Долги!$D$5,141))</f>
        <v/>
      </c>
      <c r="C147" s="31">
        <f>SUM(H147:Q147)</f>
        <v>0.0</v>
      </c>
      <c r="D147" s="31">
        <f>SUM(AB147:AK147)</f>
        <v>0.0</v>
      </c>
      <c r="E147" s="31">
        <f>C147-D147</f>
        <v>0.0</v>
      </c>
      <c r="F147" s="31">
        <f>SUM(R147:AA147)</f>
        <v>0.0</v>
      </c>
      <c r="G147" s="34" t="str">
        <f>IF(OR(A147="",$F$5&lt;=0),"",REPT("█",ROUND(20*F147/$F$5,0)))</f>
        <v/>
      </c>
      <c r="H147" s="31">
        <f>AL147+MIN(R146+AB147-AL147,MAX(0,ROUND(Долги!$D$19-SUM($AL147:$AU147),2)))</f>
        <v>0.0</v>
      </c>
      <c r="I147" s="31">
        <f>AM147+MIN(S146+AC147-AM147,MAX(0,ROUND(ROUND(Долги!$D$19-SUM($AL147:$AU147),2)-(SUM($H147:H147)-SUM($AL147:AL147)),2)))</f>
        <v>0.0</v>
      </c>
      <c r="J147" s="31">
        <f>AN147+MIN(T146+AD147-AN147,MAX(0,ROUND(ROUND(Долги!$D$19-SUM($AL147:$AU147),2)-(SUM($H147:I147)-SUM($AL147:AM147)),2)))</f>
        <v>0.0</v>
      </c>
      <c r="K147" s="31">
        <f>AO147+MIN(U146+AE147-AO147,MAX(0,ROUND(ROUND(Долги!$D$19-SUM($AL147:$AU147),2)-(SUM($H147:J147)-SUM($AL147:AN147)),2)))</f>
        <v>0.0</v>
      </c>
      <c r="L147" s="31">
        <f>AP147+MIN(V146+AF147-AP147,MAX(0,ROUND(ROUND(Долги!$D$19-SUM($AL147:$AU147),2)-(SUM($H147:K147)-SUM($AL147:AO147)),2)))</f>
        <v>0.0</v>
      </c>
      <c r="M147" s="31">
        <f>AQ147+MIN(W146+AG147-AQ147,MAX(0,ROUND(ROUND(Долги!$D$19-SUM($AL147:$AU147),2)-(SUM($H147:L147)-SUM($AL147:AP147)),2)))</f>
        <v>0.0</v>
      </c>
      <c r="N147" s="31">
        <f>AR147+MIN(X146+AH147-AR147,MAX(0,ROUND(ROUND(Долги!$D$19-SUM($AL147:$AU147),2)-(SUM($H147:M147)-SUM($AL147:AQ147)),2)))</f>
        <v>0.0</v>
      </c>
      <c r="O147" s="31">
        <f>AS147+MIN(Y146+AI147-AS147,MAX(0,ROUND(ROUND(Долги!$D$19-SUM($AL147:$AU147),2)-(SUM($H147:N147)-SUM($AL147:AR147)),2)))</f>
        <v>0.0</v>
      </c>
      <c r="P147" s="31">
        <f>AT147+MIN(Z146+AJ147-AT147,MAX(0,ROUND(ROUND(Долги!$D$19-SUM($AL147:$AU147),2)-(SUM($H147:O147)-SUM($AL147:AS147)),2)))</f>
        <v>0.0</v>
      </c>
      <c r="Q147" s="31">
        <f>AU147+MIN(AA146+AK147-AU147,MAX(0,ROUND(ROUND(Долги!$D$19-SUM($AL147:$AU147),2)-(SUM($H147:P147)-SUM($AL147:AT147)),2)))</f>
        <v>0.0</v>
      </c>
      <c r="R147" s="31">
        <f>IF(R146+AB147-H147&lt;=0.01,0,ROUND(R146+AB147-H147,2))</f>
        <v>0.0</v>
      </c>
      <c r="S147" s="31">
        <f>IF(S146+AC147-I147&lt;=0.01,0,ROUND(S146+AC147-I147,2))</f>
        <v>0.0</v>
      </c>
      <c r="T147" s="31">
        <f>IF(T146+AD147-J147&lt;=0.01,0,ROUND(T146+AD147-J147,2))</f>
        <v>0.0</v>
      </c>
      <c r="U147" s="31">
        <f>IF(U146+AE147-K147&lt;=0.01,0,ROUND(U146+AE147-K147,2))</f>
        <v>0.0</v>
      </c>
      <c r="V147" s="31">
        <f>IF(V146+AF147-L147&lt;=0.01,0,ROUND(V146+AF147-L147,2))</f>
        <v>0.0</v>
      </c>
      <c r="W147" s="31">
        <f>IF(W146+AG147-M147&lt;=0.01,0,ROUND(W146+AG147-M147,2))</f>
        <v>0.0</v>
      </c>
      <c r="X147" s="31">
        <f>IF(X146+AH147-N147&lt;=0.01,0,ROUND(X146+AH147-N147,2))</f>
        <v>0.0</v>
      </c>
      <c r="Y147" s="31">
        <f>IF(Y146+AI147-O147&lt;=0.01,0,ROUND(Y146+AI147-O147,2))</f>
        <v>0.0</v>
      </c>
      <c r="Z147" s="31">
        <f>IF(Z146+AJ147-P147&lt;=0.01,0,ROUND(Z146+AJ147-P147,2))</f>
        <v>0.0</v>
      </c>
      <c r="AA147" s="31">
        <f>IF(AA146+AK147-Q147&lt;=0.01,0,ROUND(AA146+AK147-Q147,2))</f>
        <v>0.0</v>
      </c>
      <c r="AB147" s="31">
        <f>ROUND(R146*AB$5/1200,2)</f>
        <v>0.0</v>
      </c>
      <c r="AC147" s="31">
        <f>ROUND(S146*AC$5/1200,2)</f>
        <v>0.0</v>
      </c>
      <c r="AD147" s="31">
        <f>ROUND(T146*AD$5/1200,2)</f>
        <v>0.0</v>
      </c>
      <c r="AE147" s="31">
        <f>ROUND(U146*AE$5/1200,2)</f>
        <v>0.0</v>
      </c>
      <c r="AF147" s="31">
        <f>ROUND(V146*AF$5/1200,2)</f>
        <v>0.0</v>
      </c>
      <c r="AG147" s="31">
        <f>ROUND(W146*AG$5/1200,2)</f>
        <v>0.0</v>
      </c>
      <c r="AH147" s="31">
        <f>ROUND(X146*AH$5/1200,2)</f>
        <v>0.0</v>
      </c>
      <c r="AI147" s="31">
        <f>ROUND(Y146*AI$5/1200,2)</f>
        <v>0.0</v>
      </c>
      <c r="AJ147" s="31">
        <f>ROUND(Z146*AJ$5/1200,2)</f>
        <v>0.0</v>
      </c>
      <c r="AK147" s="31">
        <f>ROUND(AA146*AK$5/1200,2)</f>
        <v>0.0</v>
      </c>
      <c r="AL147" s="31">
        <f>MIN(AL$5,R146+AB147)</f>
        <v>0.0</v>
      </c>
      <c r="AM147" s="31">
        <f>MIN(AM$5,S146+AC147)</f>
        <v>0.0</v>
      </c>
      <c r="AN147" s="31">
        <f>MIN(AN$5,T146+AD147)</f>
        <v>0.0</v>
      </c>
      <c r="AO147" s="31">
        <f>MIN(AO$5,U146+AE147)</f>
        <v>0.0</v>
      </c>
      <c r="AP147" s="31">
        <f>MIN(AP$5,V146+AF147)</f>
        <v>0.0</v>
      </c>
      <c r="AQ147" s="31">
        <f>MIN(AQ$5,W146+AG147)</f>
        <v>0.0</v>
      </c>
      <c r="AR147" s="31">
        <f>MIN(AR$5,X146+AH147)</f>
        <v>0.0</v>
      </c>
      <c r="AS147" s="31">
        <f>MIN(AS$5,Y146+AI147)</f>
        <v>0.0</v>
      </c>
      <c r="AT147" s="31">
        <f>MIN(AT$5,Z146+AJ147)</f>
        <v>0.0</v>
      </c>
      <c r="AU147" s="31">
        <f>MIN(AU$5,AA146+AK147)</f>
        <v>0.0</v>
      </c>
    </row>
    <row r="148">
      <c r="A148" s="25" t="str">
        <f>IF(F147&gt;0.005,143,"")</f>
        <v/>
      </c>
      <c r="B148" s="33" t="str">
        <f>IF(A148="","",EDATE(Долги!$D$5,142))</f>
        <v/>
      </c>
      <c r="C148" s="31">
        <f>SUM(H148:Q148)</f>
        <v>0.0</v>
      </c>
      <c r="D148" s="31">
        <f>SUM(AB148:AK148)</f>
        <v>0.0</v>
      </c>
      <c r="E148" s="31">
        <f>C148-D148</f>
        <v>0.0</v>
      </c>
      <c r="F148" s="31">
        <f>SUM(R148:AA148)</f>
        <v>0.0</v>
      </c>
      <c r="G148" s="34" t="str">
        <f>IF(OR(A148="",$F$5&lt;=0),"",REPT("█",ROUND(20*F148/$F$5,0)))</f>
        <v/>
      </c>
      <c r="H148" s="31">
        <f>AL148+MIN(R147+AB148-AL148,MAX(0,ROUND(Долги!$D$19-SUM($AL148:$AU148),2)))</f>
        <v>0.0</v>
      </c>
      <c r="I148" s="31">
        <f>AM148+MIN(S147+AC148-AM148,MAX(0,ROUND(ROUND(Долги!$D$19-SUM($AL148:$AU148),2)-(SUM($H148:H148)-SUM($AL148:AL148)),2)))</f>
        <v>0.0</v>
      </c>
      <c r="J148" s="31">
        <f>AN148+MIN(T147+AD148-AN148,MAX(0,ROUND(ROUND(Долги!$D$19-SUM($AL148:$AU148),2)-(SUM($H148:I148)-SUM($AL148:AM148)),2)))</f>
        <v>0.0</v>
      </c>
      <c r="K148" s="31">
        <f>AO148+MIN(U147+AE148-AO148,MAX(0,ROUND(ROUND(Долги!$D$19-SUM($AL148:$AU148),2)-(SUM($H148:J148)-SUM($AL148:AN148)),2)))</f>
        <v>0.0</v>
      </c>
      <c r="L148" s="31">
        <f>AP148+MIN(V147+AF148-AP148,MAX(0,ROUND(ROUND(Долги!$D$19-SUM($AL148:$AU148),2)-(SUM($H148:K148)-SUM($AL148:AO148)),2)))</f>
        <v>0.0</v>
      </c>
      <c r="M148" s="31">
        <f>AQ148+MIN(W147+AG148-AQ148,MAX(0,ROUND(ROUND(Долги!$D$19-SUM($AL148:$AU148),2)-(SUM($H148:L148)-SUM($AL148:AP148)),2)))</f>
        <v>0.0</v>
      </c>
      <c r="N148" s="31">
        <f>AR148+MIN(X147+AH148-AR148,MAX(0,ROUND(ROUND(Долги!$D$19-SUM($AL148:$AU148),2)-(SUM($H148:M148)-SUM($AL148:AQ148)),2)))</f>
        <v>0.0</v>
      </c>
      <c r="O148" s="31">
        <f>AS148+MIN(Y147+AI148-AS148,MAX(0,ROUND(ROUND(Долги!$D$19-SUM($AL148:$AU148),2)-(SUM($H148:N148)-SUM($AL148:AR148)),2)))</f>
        <v>0.0</v>
      </c>
      <c r="P148" s="31">
        <f>AT148+MIN(Z147+AJ148-AT148,MAX(0,ROUND(ROUND(Долги!$D$19-SUM($AL148:$AU148),2)-(SUM($H148:O148)-SUM($AL148:AS148)),2)))</f>
        <v>0.0</v>
      </c>
      <c r="Q148" s="31">
        <f>AU148+MIN(AA147+AK148-AU148,MAX(0,ROUND(ROUND(Долги!$D$19-SUM($AL148:$AU148),2)-(SUM($H148:P148)-SUM($AL148:AT148)),2)))</f>
        <v>0.0</v>
      </c>
      <c r="R148" s="31">
        <f>IF(R147+AB148-H148&lt;=0.01,0,ROUND(R147+AB148-H148,2))</f>
        <v>0.0</v>
      </c>
      <c r="S148" s="31">
        <f>IF(S147+AC148-I148&lt;=0.01,0,ROUND(S147+AC148-I148,2))</f>
        <v>0.0</v>
      </c>
      <c r="T148" s="31">
        <f>IF(T147+AD148-J148&lt;=0.01,0,ROUND(T147+AD148-J148,2))</f>
        <v>0.0</v>
      </c>
      <c r="U148" s="31">
        <f>IF(U147+AE148-K148&lt;=0.01,0,ROUND(U147+AE148-K148,2))</f>
        <v>0.0</v>
      </c>
      <c r="V148" s="31">
        <f>IF(V147+AF148-L148&lt;=0.01,0,ROUND(V147+AF148-L148,2))</f>
        <v>0.0</v>
      </c>
      <c r="W148" s="31">
        <f>IF(W147+AG148-M148&lt;=0.01,0,ROUND(W147+AG148-M148,2))</f>
        <v>0.0</v>
      </c>
      <c r="X148" s="31">
        <f>IF(X147+AH148-N148&lt;=0.01,0,ROUND(X147+AH148-N148,2))</f>
        <v>0.0</v>
      </c>
      <c r="Y148" s="31">
        <f>IF(Y147+AI148-O148&lt;=0.01,0,ROUND(Y147+AI148-O148,2))</f>
        <v>0.0</v>
      </c>
      <c r="Z148" s="31">
        <f>IF(Z147+AJ148-P148&lt;=0.01,0,ROUND(Z147+AJ148-P148,2))</f>
        <v>0.0</v>
      </c>
      <c r="AA148" s="31">
        <f>IF(AA147+AK148-Q148&lt;=0.01,0,ROUND(AA147+AK148-Q148,2))</f>
        <v>0.0</v>
      </c>
      <c r="AB148" s="31">
        <f>ROUND(R147*AB$5/1200,2)</f>
        <v>0.0</v>
      </c>
      <c r="AC148" s="31">
        <f>ROUND(S147*AC$5/1200,2)</f>
        <v>0.0</v>
      </c>
      <c r="AD148" s="31">
        <f>ROUND(T147*AD$5/1200,2)</f>
        <v>0.0</v>
      </c>
      <c r="AE148" s="31">
        <f>ROUND(U147*AE$5/1200,2)</f>
        <v>0.0</v>
      </c>
      <c r="AF148" s="31">
        <f>ROUND(V147*AF$5/1200,2)</f>
        <v>0.0</v>
      </c>
      <c r="AG148" s="31">
        <f>ROUND(W147*AG$5/1200,2)</f>
        <v>0.0</v>
      </c>
      <c r="AH148" s="31">
        <f>ROUND(X147*AH$5/1200,2)</f>
        <v>0.0</v>
      </c>
      <c r="AI148" s="31">
        <f>ROUND(Y147*AI$5/1200,2)</f>
        <v>0.0</v>
      </c>
      <c r="AJ148" s="31">
        <f>ROUND(Z147*AJ$5/1200,2)</f>
        <v>0.0</v>
      </c>
      <c r="AK148" s="31">
        <f>ROUND(AA147*AK$5/1200,2)</f>
        <v>0.0</v>
      </c>
      <c r="AL148" s="31">
        <f>MIN(AL$5,R147+AB148)</f>
        <v>0.0</v>
      </c>
      <c r="AM148" s="31">
        <f>MIN(AM$5,S147+AC148)</f>
        <v>0.0</v>
      </c>
      <c r="AN148" s="31">
        <f>MIN(AN$5,T147+AD148)</f>
        <v>0.0</v>
      </c>
      <c r="AO148" s="31">
        <f>MIN(AO$5,U147+AE148)</f>
        <v>0.0</v>
      </c>
      <c r="AP148" s="31">
        <f>MIN(AP$5,V147+AF148)</f>
        <v>0.0</v>
      </c>
      <c r="AQ148" s="31">
        <f>MIN(AQ$5,W147+AG148)</f>
        <v>0.0</v>
      </c>
      <c r="AR148" s="31">
        <f>MIN(AR$5,X147+AH148)</f>
        <v>0.0</v>
      </c>
      <c r="AS148" s="31">
        <f>MIN(AS$5,Y147+AI148)</f>
        <v>0.0</v>
      </c>
      <c r="AT148" s="31">
        <f>MIN(AT$5,Z147+AJ148)</f>
        <v>0.0</v>
      </c>
      <c r="AU148" s="31">
        <f>MIN(AU$5,AA147+AK148)</f>
        <v>0.0</v>
      </c>
    </row>
    <row r="149">
      <c r="A149" s="25" t="str">
        <f>IF(F148&gt;0.005,144,"")</f>
        <v/>
      </c>
      <c r="B149" s="33" t="str">
        <f>IF(A149="","",EDATE(Долги!$D$5,143))</f>
        <v/>
      </c>
      <c r="C149" s="31">
        <f>SUM(H149:Q149)</f>
        <v>0.0</v>
      </c>
      <c r="D149" s="31">
        <f>SUM(AB149:AK149)</f>
        <v>0.0</v>
      </c>
      <c r="E149" s="31">
        <f>C149-D149</f>
        <v>0.0</v>
      </c>
      <c r="F149" s="31">
        <f>SUM(R149:AA149)</f>
        <v>0.0</v>
      </c>
      <c r="G149" s="34" t="str">
        <f>IF(OR(A149="",$F$5&lt;=0),"",REPT("█",ROUND(20*F149/$F$5,0)))</f>
        <v/>
      </c>
      <c r="H149" s="31">
        <f>AL149+MIN(R148+AB149-AL149,MAX(0,ROUND(Долги!$D$19-SUM($AL149:$AU149),2)))</f>
        <v>0.0</v>
      </c>
      <c r="I149" s="31">
        <f>AM149+MIN(S148+AC149-AM149,MAX(0,ROUND(ROUND(Долги!$D$19-SUM($AL149:$AU149),2)-(SUM($H149:H149)-SUM($AL149:AL149)),2)))</f>
        <v>0.0</v>
      </c>
      <c r="J149" s="31">
        <f>AN149+MIN(T148+AD149-AN149,MAX(0,ROUND(ROUND(Долги!$D$19-SUM($AL149:$AU149),2)-(SUM($H149:I149)-SUM($AL149:AM149)),2)))</f>
        <v>0.0</v>
      </c>
      <c r="K149" s="31">
        <f>AO149+MIN(U148+AE149-AO149,MAX(0,ROUND(ROUND(Долги!$D$19-SUM($AL149:$AU149),2)-(SUM($H149:J149)-SUM($AL149:AN149)),2)))</f>
        <v>0.0</v>
      </c>
      <c r="L149" s="31">
        <f>AP149+MIN(V148+AF149-AP149,MAX(0,ROUND(ROUND(Долги!$D$19-SUM($AL149:$AU149),2)-(SUM($H149:K149)-SUM($AL149:AO149)),2)))</f>
        <v>0.0</v>
      </c>
      <c r="M149" s="31">
        <f>AQ149+MIN(W148+AG149-AQ149,MAX(0,ROUND(ROUND(Долги!$D$19-SUM($AL149:$AU149),2)-(SUM($H149:L149)-SUM($AL149:AP149)),2)))</f>
        <v>0.0</v>
      </c>
      <c r="N149" s="31">
        <f>AR149+MIN(X148+AH149-AR149,MAX(0,ROUND(ROUND(Долги!$D$19-SUM($AL149:$AU149),2)-(SUM($H149:M149)-SUM($AL149:AQ149)),2)))</f>
        <v>0.0</v>
      </c>
      <c r="O149" s="31">
        <f>AS149+MIN(Y148+AI149-AS149,MAX(0,ROUND(ROUND(Долги!$D$19-SUM($AL149:$AU149),2)-(SUM($H149:N149)-SUM($AL149:AR149)),2)))</f>
        <v>0.0</v>
      </c>
      <c r="P149" s="31">
        <f>AT149+MIN(Z148+AJ149-AT149,MAX(0,ROUND(ROUND(Долги!$D$19-SUM($AL149:$AU149),2)-(SUM($H149:O149)-SUM($AL149:AS149)),2)))</f>
        <v>0.0</v>
      </c>
      <c r="Q149" s="31">
        <f>AU149+MIN(AA148+AK149-AU149,MAX(0,ROUND(ROUND(Долги!$D$19-SUM($AL149:$AU149),2)-(SUM($H149:P149)-SUM($AL149:AT149)),2)))</f>
        <v>0.0</v>
      </c>
      <c r="R149" s="31">
        <f>IF(R148+AB149-H149&lt;=0.01,0,ROUND(R148+AB149-H149,2))</f>
        <v>0.0</v>
      </c>
      <c r="S149" s="31">
        <f>IF(S148+AC149-I149&lt;=0.01,0,ROUND(S148+AC149-I149,2))</f>
        <v>0.0</v>
      </c>
      <c r="T149" s="31">
        <f>IF(T148+AD149-J149&lt;=0.01,0,ROUND(T148+AD149-J149,2))</f>
        <v>0.0</v>
      </c>
      <c r="U149" s="31">
        <f>IF(U148+AE149-K149&lt;=0.01,0,ROUND(U148+AE149-K149,2))</f>
        <v>0.0</v>
      </c>
      <c r="V149" s="31">
        <f>IF(V148+AF149-L149&lt;=0.01,0,ROUND(V148+AF149-L149,2))</f>
        <v>0.0</v>
      </c>
      <c r="W149" s="31">
        <f>IF(W148+AG149-M149&lt;=0.01,0,ROUND(W148+AG149-M149,2))</f>
        <v>0.0</v>
      </c>
      <c r="X149" s="31">
        <f>IF(X148+AH149-N149&lt;=0.01,0,ROUND(X148+AH149-N149,2))</f>
        <v>0.0</v>
      </c>
      <c r="Y149" s="31">
        <f>IF(Y148+AI149-O149&lt;=0.01,0,ROUND(Y148+AI149-O149,2))</f>
        <v>0.0</v>
      </c>
      <c r="Z149" s="31">
        <f>IF(Z148+AJ149-P149&lt;=0.01,0,ROUND(Z148+AJ149-P149,2))</f>
        <v>0.0</v>
      </c>
      <c r="AA149" s="31">
        <f>IF(AA148+AK149-Q149&lt;=0.01,0,ROUND(AA148+AK149-Q149,2))</f>
        <v>0.0</v>
      </c>
      <c r="AB149" s="31">
        <f>ROUND(R148*AB$5/1200,2)</f>
        <v>0.0</v>
      </c>
      <c r="AC149" s="31">
        <f>ROUND(S148*AC$5/1200,2)</f>
        <v>0.0</v>
      </c>
      <c r="AD149" s="31">
        <f>ROUND(T148*AD$5/1200,2)</f>
        <v>0.0</v>
      </c>
      <c r="AE149" s="31">
        <f>ROUND(U148*AE$5/1200,2)</f>
        <v>0.0</v>
      </c>
      <c r="AF149" s="31">
        <f>ROUND(V148*AF$5/1200,2)</f>
        <v>0.0</v>
      </c>
      <c r="AG149" s="31">
        <f>ROUND(W148*AG$5/1200,2)</f>
        <v>0.0</v>
      </c>
      <c r="AH149" s="31">
        <f>ROUND(X148*AH$5/1200,2)</f>
        <v>0.0</v>
      </c>
      <c r="AI149" s="31">
        <f>ROUND(Y148*AI$5/1200,2)</f>
        <v>0.0</v>
      </c>
      <c r="AJ149" s="31">
        <f>ROUND(Z148*AJ$5/1200,2)</f>
        <v>0.0</v>
      </c>
      <c r="AK149" s="31">
        <f>ROUND(AA148*AK$5/1200,2)</f>
        <v>0.0</v>
      </c>
      <c r="AL149" s="31">
        <f>MIN(AL$5,R148+AB149)</f>
        <v>0.0</v>
      </c>
      <c r="AM149" s="31">
        <f>MIN(AM$5,S148+AC149)</f>
        <v>0.0</v>
      </c>
      <c r="AN149" s="31">
        <f>MIN(AN$5,T148+AD149)</f>
        <v>0.0</v>
      </c>
      <c r="AO149" s="31">
        <f>MIN(AO$5,U148+AE149)</f>
        <v>0.0</v>
      </c>
      <c r="AP149" s="31">
        <f>MIN(AP$5,V148+AF149)</f>
        <v>0.0</v>
      </c>
      <c r="AQ149" s="31">
        <f>MIN(AQ$5,W148+AG149)</f>
        <v>0.0</v>
      </c>
      <c r="AR149" s="31">
        <f>MIN(AR$5,X148+AH149)</f>
        <v>0.0</v>
      </c>
      <c r="AS149" s="31">
        <f>MIN(AS$5,Y148+AI149)</f>
        <v>0.0</v>
      </c>
      <c r="AT149" s="31">
        <f>MIN(AT$5,Z148+AJ149)</f>
        <v>0.0</v>
      </c>
      <c r="AU149" s="31">
        <f>MIN(AU$5,AA148+AK149)</f>
        <v>0.0</v>
      </c>
    </row>
    <row r="150">
      <c r="A150" s="25" t="str">
        <f>IF(F149&gt;0.005,145,"")</f>
        <v/>
      </c>
      <c r="B150" s="33" t="str">
        <f>IF(A150="","",EDATE(Долги!$D$5,144))</f>
        <v/>
      </c>
      <c r="C150" s="31">
        <f>SUM(H150:Q150)</f>
        <v>0.0</v>
      </c>
      <c r="D150" s="31">
        <f>SUM(AB150:AK150)</f>
        <v>0.0</v>
      </c>
      <c r="E150" s="31">
        <f>C150-D150</f>
        <v>0.0</v>
      </c>
      <c r="F150" s="31">
        <f>SUM(R150:AA150)</f>
        <v>0.0</v>
      </c>
      <c r="G150" s="34" t="str">
        <f>IF(OR(A150="",$F$5&lt;=0),"",REPT("█",ROUND(20*F150/$F$5,0)))</f>
        <v/>
      </c>
      <c r="H150" s="31">
        <f>AL150+MIN(R149+AB150-AL150,MAX(0,ROUND(Долги!$D$19-SUM($AL150:$AU150),2)))</f>
        <v>0.0</v>
      </c>
      <c r="I150" s="31">
        <f>AM150+MIN(S149+AC150-AM150,MAX(0,ROUND(ROUND(Долги!$D$19-SUM($AL150:$AU150),2)-(SUM($H150:H150)-SUM($AL150:AL150)),2)))</f>
        <v>0.0</v>
      </c>
      <c r="J150" s="31">
        <f>AN150+MIN(T149+AD150-AN150,MAX(0,ROUND(ROUND(Долги!$D$19-SUM($AL150:$AU150),2)-(SUM($H150:I150)-SUM($AL150:AM150)),2)))</f>
        <v>0.0</v>
      </c>
      <c r="K150" s="31">
        <f>AO150+MIN(U149+AE150-AO150,MAX(0,ROUND(ROUND(Долги!$D$19-SUM($AL150:$AU150),2)-(SUM($H150:J150)-SUM($AL150:AN150)),2)))</f>
        <v>0.0</v>
      </c>
      <c r="L150" s="31">
        <f>AP150+MIN(V149+AF150-AP150,MAX(0,ROUND(ROUND(Долги!$D$19-SUM($AL150:$AU150),2)-(SUM($H150:K150)-SUM($AL150:AO150)),2)))</f>
        <v>0.0</v>
      </c>
      <c r="M150" s="31">
        <f>AQ150+MIN(W149+AG150-AQ150,MAX(0,ROUND(ROUND(Долги!$D$19-SUM($AL150:$AU150),2)-(SUM($H150:L150)-SUM($AL150:AP150)),2)))</f>
        <v>0.0</v>
      </c>
      <c r="N150" s="31">
        <f>AR150+MIN(X149+AH150-AR150,MAX(0,ROUND(ROUND(Долги!$D$19-SUM($AL150:$AU150),2)-(SUM($H150:M150)-SUM($AL150:AQ150)),2)))</f>
        <v>0.0</v>
      </c>
      <c r="O150" s="31">
        <f>AS150+MIN(Y149+AI150-AS150,MAX(0,ROUND(ROUND(Долги!$D$19-SUM($AL150:$AU150),2)-(SUM($H150:N150)-SUM($AL150:AR150)),2)))</f>
        <v>0.0</v>
      </c>
      <c r="P150" s="31">
        <f>AT150+MIN(Z149+AJ150-AT150,MAX(0,ROUND(ROUND(Долги!$D$19-SUM($AL150:$AU150),2)-(SUM($H150:O150)-SUM($AL150:AS150)),2)))</f>
        <v>0.0</v>
      </c>
      <c r="Q150" s="31">
        <f>AU150+MIN(AA149+AK150-AU150,MAX(0,ROUND(ROUND(Долги!$D$19-SUM($AL150:$AU150),2)-(SUM($H150:P150)-SUM($AL150:AT150)),2)))</f>
        <v>0.0</v>
      </c>
      <c r="R150" s="31">
        <f>IF(R149+AB150-H150&lt;=0.01,0,ROUND(R149+AB150-H150,2))</f>
        <v>0.0</v>
      </c>
      <c r="S150" s="31">
        <f>IF(S149+AC150-I150&lt;=0.01,0,ROUND(S149+AC150-I150,2))</f>
        <v>0.0</v>
      </c>
      <c r="T150" s="31">
        <f>IF(T149+AD150-J150&lt;=0.01,0,ROUND(T149+AD150-J150,2))</f>
        <v>0.0</v>
      </c>
      <c r="U150" s="31">
        <f>IF(U149+AE150-K150&lt;=0.01,0,ROUND(U149+AE150-K150,2))</f>
        <v>0.0</v>
      </c>
      <c r="V150" s="31">
        <f>IF(V149+AF150-L150&lt;=0.01,0,ROUND(V149+AF150-L150,2))</f>
        <v>0.0</v>
      </c>
      <c r="W150" s="31">
        <f>IF(W149+AG150-M150&lt;=0.01,0,ROUND(W149+AG150-M150,2))</f>
        <v>0.0</v>
      </c>
      <c r="X150" s="31">
        <f>IF(X149+AH150-N150&lt;=0.01,0,ROUND(X149+AH150-N150,2))</f>
        <v>0.0</v>
      </c>
      <c r="Y150" s="31">
        <f>IF(Y149+AI150-O150&lt;=0.01,0,ROUND(Y149+AI150-O150,2))</f>
        <v>0.0</v>
      </c>
      <c r="Z150" s="31">
        <f>IF(Z149+AJ150-P150&lt;=0.01,0,ROUND(Z149+AJ150-P150,2))</f>
        <v>0.0</v>
      </c>
      <c r="AA150" s="31">
        <f>IF(AA149+AK150-Q150&lt;=0.01,0,ROUND(AA149+AK150-Q150,2))</f>
        <v>0.0</v>
      </c>
      <c r="AB150" s="31">
        <f>ROUND(R149*AB$5/1200,2)</f>
        <v>0.0</v>
      </c>
      <c r="AC150" s="31">
        <f>ROUND(S149*AC$5/1200,2)</f>
        <v>0.0</v>
      </c>
      <c r="AD150" s="31">
        <f>ROUND(T149*AD$5/1200,2)</f>
        <v>0.0</v>
      </c>
      <c r="AE150" s="31">
        <f>ROUND(U149*AE$5/1200,2)</f>
        <v>0.0</v>
      </c>
      <c r="AF150" s="31">
        <f>ROUND(V149*AF$5/1200,2)</f>
        <v>0.0</v>
      </c>
      <c r="AG150" s="31">
        <f>ROUND(W149*AG$5/1200,2)</f>
        <v>0.0</v>
      </c>
      <c r="AH150" s="31">
        <f>ROUND(X149*AH$5/1200,2)</f>
        <v>0.0</v>
      </c>
      <c r="AI150" s="31">
        <f>ROUND(Y149*AI$5/1200,2)</f>
        <v>0.0</v>
      </c>
      <c r="AJ150" s="31">
        <f>ROUND(Z149*AJ$5/1200,2)</f>
        <v>0.0</v>
      </c>
      <c r="AK150" s="31">
        <f>ROUND(AA149*AK$5/1200,2)</f>
        <v>0.0</v>
      </c>
      <c r="AL150" s="31">
        <f>MIN(AL$5,R149+AB150)</f>
        <v>0.0</v>
      </c>
      <c r="AM150" s="31">
        <f>MIN(AM$5,S149+AC150)</f>
        <v>0.0</v>
      </c>
      <c r="AN150" s="31">
        <f>MIN(AN$5,T149+AD150)</f>
        <v>0.0</v>
      </c>
      <c r="AO150" s="31">
        <f>MIN(AO$5,U149+AE150)</f>
        <v>0.0</v>
      </c>
      <c r="AP150" s="31">
        <f>MIN(AP$5,V149+AF150)</f>
        <v>0.0</v>
      </c>
      <c r="AQ150" s="31">
        <f>MIN(AQ$5,W149+AG150)</f>
        <v>0.0</v>
      </c>
      <c r="AR150" s="31">
        <f>MIN(AR$5,X149+AH150)</f>
        <v>0.0</v>
      </c>
      <c r="AS150" s="31">
        <f>MIN(AS$5,Y149+AI150)</f>
        <v>0.0</v>
      </c>
      <c r="AT150" s="31">
        <f>MIN(AT$5,Z149+AJ150)</f>
        <v>0.0</v>
      </c>
      <c r="AU150" s="31">
        <f>MIN(AU$5,AA149+AK150)</f>
        <v>0.0</v>
      </c>
    </row>
    <row r="151">
      <c r="A151" s="25" t="str">
        <f>IF(F150&gt;0.005,146,"")</f>
        <v/>
      </c>
      <c r="B151" s="33" t="str">
        <f>IF(A151="","",EDATE(Долги!$D$5,145))</f>
        <v/>
      </c>
      <c r="C151" s="31">
        <f>SUM(H151:Q151)</f>
        <v>0.0</v>
      </c>
      <c r="D151" s="31">
        <f>SUM(AB151:AK151)</f>
        <v>0.0</v>
      </c>
      <c r="E151" s="31">
        <f>C151-D151</f>
        <v>0.0</v>
      </c>
      <c r="F151" s="31">
        <f>SUM(R151:AA151)</f>
        <v>0.0</v>
      </c>
      <c r="G151" s="34" t="str">
        <f>IF(OR(A151="",$F$5&lt;=0),"",REPT("█",ROUND(20*F151/$F$5,0)))</f>
        <v/>
      </c>
      <c r="H151" s="31">
        <f>AL151+MIN(R150+AB151-AL151,MAX(0,ROUND(Долги!$D$19-SUM($AL151:$AU151),2)))</f>
        <v>0.0</v>
      </c>
      <c r="I151" s="31">
        <f>AM151+MIN(S150+AC151-AM151,MAX(0,ROUND(ROUND(Долги!$D$19-SUM($AL151:$AU151),2)-(SUM($H151:H151)-SUM($AL151:AL151)),2)))</f>
        <v>0.0</v>
      </c>
      <c r="J151" s="31">
        <f>AN151+MIN(T150+AD151-AN151,MAX(0,ROUND(ROUND(Долги!$D$19-SUM($AL151:$AU151),2)-(SUM($H151:I151)-SUM($AL151:AM151)),2)))</f>
        <v>0.0</v>
      </c>
      <c r="K151" s="31">
        <f>AO151+MIN(U150+AE151-AO151,MAX(0,ROUND(ROUND(Долги!$D$19-SUM($AL151:$AU151),2)-(SUM($H151:J151)-SUM($AL151:AN151)),2)))</f>
        <v>0.0</v>
      </c>
      <c r="L151" s="31">
        <f>AP151+MIN(V150+AF151-AP151,MAX(0,ROUND(ROUND(Долги!$D$19-SUM($AL151:$AU151),2)-(SUM($H151:K151)-SUM($AL151:AO151)),2)))</f>
        <v>0.0</v>
      </c>
      <c r="M151" s="31">
        <f>AQ151+MIN(W150+AG151-AQ151,MAX(0,ROUND(ROUND(Долги!$D$19-SUM($AL151:$AU151),2)-(SUM($H151:L151)-SUM($AL151:AP151)),2)))</f>
        <v>0.0</v>
      </c>
      <c r="N151" s="31">
        <f>AR151+MIN(X150+AH151-AR151,MAX(0,ROUND(ROUND(Долги!$D$19-SUM($AL151:$AU151),2)-(SUM($H151:M151)-SUM($AL151:AQ151)),2)))</f>
        <v>0.0</v>
      </c>
      <c r="O151" s="31">
        <f>AS151+MIN(Y150+AI151-AS151,MAX(0,ROUND(ROUND(Долги!$D$19-SUM($AL151:$AU151),2)-(SUM($H151:N151)-SUM($AL151:AR151)),2)))</f>
        <v>0.0</v>
      </c>
      <c r="P151" s="31">
        <f>AT151+MIN(Z150+AJ151-AT151,MAX(0,ROUND(ROUND(Долги!$D$19-SUM($AL151:$AU151),2)-(SUM($H151:O151)-SUM($AL151:AS151)),2)))</f>
        <v>0.0</v>
      </c>
      <c r="Q151" s="31">
        <f>AU151+MIN(AA150+AK151-AU151,MAX(0,ROUND(ROUND(Долги!$D$19-SUM($AL151:$AU151),2)-(SUM($H151:P151)-SUM($AL151:AT151)),2)))</f>
        <v>0.0</v>
      </c>
      <c r="R151" s="31">
        <f>IF(R150+AB151-H151&lt;=0.01,0,ROUND(R150+AB151-H151,2))</f>
        <v>0.0</v>
      </c>
      <c r="S151" s="31">
        <f>IF(S150+AC151-I151&lt;=0.01,0,ROUND(S150+AC151-I151,2))</f>
        <v>0.0</v>
      </c>
      <c r="T151" s="31">
        <f>IF(T150+AD151-J151&lt;=0.01,0,ROUND(T150+AD151-J151,2))</f>
        <v>0.0</v>
      </c>
      <c r="U151" s="31">
        <f>IF(U150+AE151-K151&lt;=0.01,0,ROUND(U150+AE151-K151,2))</f>
        <v>0.0</v>
      </c>
      <c r="V151" s="31">
        <f>IF(V150+AF151-L151&lt;=0.01,0,ROUND(V150+AF151-L151,2))</f>
        <v>0.0</v>
      </c>
      <c r="W151" s="31">
        <f>IF(W150+AG151-M151&lt;=0.01,0,ROUND(W150+AG151-M151,2))</f>
        <v>0.0</v>
      </c>
      <c r="X151" s="31">
        <f>IF(X150+AH151-N151&lt;=0.01,0,ROUND(X150+AH151-N151,2))</f>
        <v>0.0</v>
      </c>
      <c r="Y151" s="31">
        <f>IF(Y150+AI151-O151&lt;=0.01,0,ROUND(Y150+AI151-O151,2))</f>
        <v>0.0</v>
      </c>
      <c r="Z151" s="31">
        <f>IF(Z150+AJ151-P151&lt;=0.01,0,ROUND(Z150+AJ151-P151,2))</f>
        <v>0.0</v>
      </c>
      <c r="AA151" s="31">
        <f>IF(AA150+AK151-Q151&lt;=0.01,0,ROUND(AA150+AK151-Q151,2))</f>
        <v>0.0</v>
      </c>
      <c r="AB151" s="31">
        <f>ROUND(R150*AB$5/1200,2)</f>
        <v>0.0</v>
      </c>
      <c r="AC151" s="31">
        <f>ROUND(S150*AC$5/1200,2)</f>
        <v>0.0</v>
      </c>
      <c r="AD151" s="31">
        <f>ROUND(T150*AD$5/1200,2)</f>
        <v>0.0</v>
      </c>
      <c r="AE151" s="31">
        <f>ROUND(U150*AE$5/1200,2)</f>
        <v>0.0</v>
      </c>
      <c r="AF151" s="31">
        <f>ROUND(V150*AF$5/1200,2)</f>
        <v>0.0</v>
      </c>
      <c r="AG151" s="31">
        <f>ROUND(W150*AG$5/1200,2)</f>
        <v>0.0</v>
      </c>
      <c r="AH151" s="31">
        <f>ROUND(X150*AH$5/1200,2)</f>
        <v>0.0</v>
      </c>
      <c r="AI151" s="31">
        <f>ROUND(Y150*AI$5/1200,2)</f>
        <v>0.0</v>
      </c>
      <c r="AJ151" s="31">
        <f>ROUND(Z150*AJ$5/1200,2)</f>
        <v>0.0</v>
      </c>
      <c r="AK151" s="31">
        <f>ROUND(AA150*AK$5/1200,2)</f>
        <v>0.0</v>
      </c>
      <c r="AL151" s="31">
        <f>MIN(AL$5,R150+AB151)</f>
        <v>0.0</v>
      </c>
      <c r="AM151" s="31">
        <f>MIN(AM$5,S150+AC151)</f>
        <v>0.0</v>
      </c>
      <c r="AN151" s="31">
        <f>MIN(AN$5,T150+AD151)</f>
        <v>0.0</v>
      </c>
      <c r="AO151" s="31">
        <f>MIN(AO$5,U150+AE151)</f>
        <v>0.0</v>
      </c>
      <c r="AP151" s="31">
        <f>MIN(AP$5,V150+AF151)</f>
        <v>0.0</v>
      </c>
      <c r="AQ151" s="31">
        <f>MIN(AQ$5,W150+AG151)</f>
        <v>0.0</v>
      </c>
      <c r="AR151" s="31">
        <f>MIN(AR$5,X150+AH151)</f>
        <v>0.0</v>
      </c>
      <c r="AS151" s="31">
        <f>MIN(AS$5,Y150+AI151)</f>
        <v>0.0</v>
      </c>
      <c r="AT151" s="31">
        <f>MIN(AT$5,Z150+AJ151)</f>
        <v>0.0</v>
      </c>
      <c r="AU151" s="31">
        <f>MIN(AU$5,AA150+AK151)</f>
        <v>0.0</v>
      </c>
    </row>
    <row r="152">
      <c r="A152" s="25" t="str">
        <f>IF(F151&gt;0.005,147,"")</f>
        <v/>
      </c>
      <c r="B152" s="33" t="str">
        <f>IF(A152="","",EDATE(Долги!$D$5,146))</f>
        <v/>
      </c>
      <c r="C152" s="31">
        <f>SUM(H152:Q152)</f>
        <v>0.0</v>
      </c>
      <c r="D152" s="31">
        <f>SUM(AB152:AK152)</f>
        <v>0.0</v>
      </c>
      <c r="E152" s="31">
        <f>C152-D152</f>
        <v>0.0</v>
      </c>
      <c r="F152" s="31">
        <f>SUM(R152:AA152)</f>
        <v>0.0</v>
      </c>
      <c r="G152" s="34" t="str">
        <f>IF(OR(A152="",$F$5&lt;=0),"",REPT("█",ROUND(20*F152/$F$5,0)))</f>
        <v/>
      </c>
      <c r="H152" s="31">
        <f>AL152+MIN(R151+AB152-AL152,MAX(0,ROUND(Долги!$D$19-SUM($AL152:$AU152),2)))</f>
        <v>0.0</v>
      </c>
      <c r="I152" s="31">
        <f>AM152+MIN(S151+AC152-AM152,MAX(0,ROUND(ROUND(Долги!$D$19-SUM($AL152:$AU152),2)-(SUM($H152:H152)-SUM($AL152:AL152)),2)))</f>
        <v>0.0</v>
      </c>
      <c r="J152" s="31">
        <f>AN152+MIN(T151+AD152-AN152,MAX(0,ROUND(ROUND(Долги!$D$19-SUM($AL152:$AU152),2)-(SUM($H152:I152)-SUM($AL152:AM152)),2)))</f>
        <v>0.0</v>
      </c>
      <c r="K152" s="31">
        <f>AO152+MIN(U151+AE152-AO152,MAX(0,ROUND(ROUND(Долги!$D$19-SUM($AL152:$AU152),2)-(SUM($H152:J152)-SUM($AL152:AN152)),2)))</f>
        <v>0.0</v>
      </c>
      <c r="L152" s="31">
        <f>AP152+MIN(V151+AF152-AP152,MAX(0,ROUND(ROUND(Долги!$D$19-SUM($AL152:$AU152),2)-(SUM($H152:K152)-SUM($AL152:AO152)),2)))</f>
        <v>0.0</v>
      </c>
      <c r="M152" s="31">
        <f>AQ152+MIN(W151+AG152-AQ152,MAX(0,ROUND(ROUND(Долги!$D$19-SUM($AL152:$AU152),2)-(SUM($H152:L152)-SUM($AL152:AP152)),2)))</f>
        <v>0.0</v>
      </c>
      <c r="N152" s="31">
        <f>AR152+MIN(X151+AH152-AR152,MAX(0,ROUND(ROUND(Долги!$D$19-SUM($AL152:$AU152),2)-(SUM($H152:M152)-SUM($AL152:AQ152)),2)))</f>
        <v>0.0</v>
      </c>
      <c r="O152" s="31">
        <f>AS152+MIN(Y151+AI152-AS152,MAX(0,ROUND(ROUND(Долги!$D$19-SUM($AL152:$AU152),2)-(SUM($H152:N152)-SUM($AL152:AR152)),2)))</f>
        <v>0.0</v>
      </c>
      <c r="P152" s="31">
        <f>AT152+MIN(Z151+AJ152-AT152,MAX(0,ROUND(ROUND(Долги!$D$19-SUM($AL152:$AU152),2)-(SUM($H152:O152)-SUM($AL152:AS152)),2)))</f>
        <v>0.0</v>
      </c>
      <c r="Q152" s="31">
        <f>AU152+MIN(AA151+AK152-AU152,MAX(0,ROUND(ROUND(Долги!$D$19-SUM($AL152:$AU152),2)-(SUM($H152:P152)-SUM($AL152:AT152)),2)))</f>
        <v>0.0</v>
      </c>
      <c r="R152" s="31">
        <f>IF(R151+AB152-H152&lt;=0.01,0,ROUND(R151+AB152-H152,2))</f>
        <v>0.0</v>
      </c>
      <c r="S152" s="31">
        <f>IF(S151+AC152-I152&lt;=0.01,0,ROUND(S151+AC152-I152,2))</f>
        <v>0.0</v>
      </c>
      <c r="T152" s="31">
        <f>IF(T151+AD152-J152&lt;=0.01,0,ROUND(T151+AD152-J152,2))</f>
        <v>0.0</v>
      </c>
      <c r="U152" s="31">
        <f>IF(U151+AE152-K152&lt;=0.01,0,ROUND(U151+AE152-K152,2))</f>
        <v>0.0</v>
      </c>
      <c r="V152" s="31">
        <f>IF(V151+AF152-L152&lt;=0.01,0,ROUND(V151+AF152-L152,2))</f>
        <v>0.0</v>
      </c>
      <c r="W152" s="31">
        <f>IF(W151+AG152-M152&lt;=0.01,0,ROUND(W151+AG152-M152,2))</f>
        <v>0.0</v>
      </c>
      <c r="X152" s="31">
        <f>IF(X151+AH152-N152&lt;=0.01,0,ROUND(X151+AH152-N152,2))</f>
        <v>0.0</v>
      </c>
      <c r="Y152" s="31">
        <f>IF(Y151+AI152-O152&lt;=0.01,0,ROUND(Y151+AI152-O152,2))</f>
        <v>0.0</v>
      </c>
      <c r="Z152" s="31">
        <f>IF(Z151+AJ152-P152&lt;=0.01,0,ROUND(Z151+AJ152-P152,2))</f>
        <v>0.0</v>
      </c>
      <c r="AA152" s="31">
        <f>IF(AA151+AK152-Q152&lt;=0.01,0,ROUND(AA151+AK152-Q152,2))</f>
        <v>0.0</v>
      </c>
      <c r="AB152" s="31">
        <f>ROUND(R151*AB$5/1200,2)</f>
        <v>0.0</v>
      </c>
      <c r="AC152" s="31">
        <f>ROUND(S151*AC$5/1200,2)</f>
        <v>0.0</v>
      </c>
      <c r="AD152" s="31">
        <f>ROUND(T151*AD$5/1200,2)</f>
        <v>0.0</v>
      </c>
      <c r="AE152" s="31">
        <f>ROUND(U151*AE$5/1200,2)</f>
        <v>0.0</v>
      </c>
      <c r="AF152" s="31">
        <f>ROUND(V151*AF$5/1200,2)</f>
        <v>0.0</v>
      </c>
      <c r="AG152" s="31">
        <f>ROUND(W151*AG$5/1200,2)</f>
        <v>0.0</v>
      </c>
      <c r="AH152" s="31">
        <f>ROUND(X151*AH$5/1200,2)</f>
        <v>0.0</v>
      </c>
      <c r="AI152" s="31">
        <f>ROUND(Y151*AI$5/1200,2)</f>
        <v>0.0</v>
      </c>
      <c r="AJ152" s="31">
        <f>ROUND(Z151*AJ$5/1200,2)</f>
        <v>0.0</v>
      </c>
      <c r="AK152" s="31">
        <f>ROUND(AA151*AK$5/1200,2)</f>
        <v>0.0</v>
      </c>
      <c r="AL152" s="31">
        <f>MIN(AL$5,R151+AB152)</f>
        <v>0.0</v>
      </c>
      <c r="AM152" s="31">
        <f>MIN(AM$5,S151+AC152)</f>
        <v>0.0</v>
      </c>
      <c r="AN152" s="31">
        <f>MIN(AN$5,T151+AD152)</f>
        <v>0.0</v>
      </c>
      <c r="AO152" s="31">
        <f>MIN(AO$5,U151+AE152)</f>
        <v>0.0</v>
      </c>
      <c r="AP152" s="31">
        <f>MIN(AP$5,V151+AF152)</f>
        <v>0.0</v>
      </c>
      <c r="AQ152" s="31">
        <f>MIN(AQ$5,W151+AG152)</f>
        <v>0.0</v>
      </c>
      <c r="AR152" s="31">
        <f>MIN(AR$5,X151+AH152)</f>
        <v>0.0</v>
      </c>
      <c r="AS152" s="31">
        <f>MIN(AS$5,Y151+AI152)</f>
        <v>0.0</v>
      </c>
      <c r="AT152" s="31">
        <f>MIN(AT$5,Z151+AJ152)</f>
        <v>0.0</v>
      </c>
      <c r="AU152" s="31">
        <f>MIN(AU$5,AA151+AK152)</f>
        <v>0.0</v>
      </c>
    </row>
    <row r="153">
      <c r="A153" s="25" t="str">
        <f>IF(F152&gt;0.005,148,"")</f>
        <v/>
      </c>
      <c r="B153" s="33" t="str">
        <f>IF(A153="","",EDATE(Долги!$D$5,147))</f>
        <v/>
      </c>
      <c r="C153" s="31">
        <f>SUM(H153:Q153)</f>
        <v>0.0</v>
      </c>
      <c r="D153" s="31">
        <f>SUM(AB153:AK153)</f>
        <v>0.0</v>
      </c>
      <c r="E153" s="31">
        <f>C153-D153</f>
        <v>0.0</v>
      </c>
      <c r="F153" s="31">
        <f>SUM(R153:AA153)</f>
        <v>0.0</v>
      </c>
      <c r="G153" s="34" t="str">
        <f>IF(OR(A153="",$F$5&lt;=0),"",REPT("█",ROUND(20*F153/$F$5,0)))</f>
        <v/>
      </c>
      <c r="H153" s="31">
        <f>AL153+MIN(R152+AB153-AL153,MAX(0,ROUND(Долги!$D$19-SUM($AL153:$AU153),2)))</f>
        <v>0.0</v>
      </c>
      <c r="I153" s="31">
        <f>AM153+MIN(S152+AC153-AM153,MAX(0,ROUND(ROUND(Долги!$D$19-SUM($AL153:$AU153),2)-(SUM($H153:H153)-SUM($AL153:AL153)),2)))</f>
        <v>0.0</v>
      </c>
      <c r="J153" s="31">
        <f>AN153+MIN(T152+AD153-AN153,MAX(0,ROUND(ROUND(Долги!$D$19-SUM($AL153:$AU153),2)-(SUM($H153:I153)-SUM($AL153:AM153)),2)))</f>
        <v>0.0</v>
      </c>
      <c r="K153" s="31">
        <f>AO153+MIN(U152+AE153-AO153,MAX(0,ROUND(ROUND(Долги!$D$19-SUM($AL153:$AU153),2)-(SUM($H153:J153)-SUM($AL153:AN153)),2)))</f>
        <v>0.0</v>
      </c>
      <c r="L153" s="31">
        <f>AP153+MIN(V152+AF153-AP153,MAX(0,ROUND(ROUND(Долги!$D$19-SUM($AL153:$AU153),2)-(SUM($H153:K153)-SUM($AL153:AO153)),2)))</f>
        <v>0.0</v>
      </c>
      <c r="M153" s="31">
        <f>AQ153+MIN(W152+AG153-AQ153,MAX(0,ROUND(ROUND(Долги!$D$19-SUM($AL153:$AU153),2)-(SUM($H153:L153)-SUM($AL153:AP153)),2)))</f>
        <v>0.0</v>
      </c>
      <c r="N153" s="31">
        <f>AR153+MIN(X152+AH153-AR153,MAX(0,ROUND(ROUND(Долги!$D$19-SUM($AL153:$AU153),2)-(SUM($H153:M153)-SUM($AL153:AQ153)),2)))</f>
        <v>0.0</v>
      </c>
      <c r="O153" s="31">
        <f>AS153+MIN(Y152+AI153-AS153,MAX(0,ROUND(ROUND(Долги!$D$19-SUM($AL153:$AU153),2)-(SUM($H153:N153)-SUM($AL153:AR153)),2)))</f>
        <v>0.0</v>
      </c>
      <c r="P153" s="31">
        <f>AT153+MIN(Z152+AJ153-AT153,MAX(0,ROUND(ROUND(Долги!$D$19-SUM($AL153:$AU153),2)-(SUM($H153:O153)-SUM($AL153:AS153)),2)))</f>
        <v>0.0</v>
      </c>
      <c r="Q153" s="31">
        <f>AU153+MIN(AA152+AK153-AU153,MAX(0,ROUND(ROUND(Долги!$D$19-SUM($AL153:$AU153),2)-(SUM($H153:P153)-SUM($AL153:AT153)),2)))</f>
        <v>0.0</v>
      </c>
      <c r="R153" s="31">
        <f>IF(R152+AB153-H153&lt;=0.01,0,ROUND(R152+AB153-H153,2))</f>
        <v>0.0</v>
      </c>
      <c r="S153" s="31">
        <f>IF(S152+AC153-I153&lt;=0.01,0,ROUND(S152+AC153-I153,2))</f>
        <v>0.0</v>
      </c>
      <c r="T153" s="31">
        <f>IF(T152+AD153-J153&lt;=0.01,0,ROUND(T152+AD153-J153,2))</f>
        <v>0.0</v>
      </c>
      <c r="U153" s="31">
        <f>IF(U152+AE153-K153&lt;=0.01,0,ROUND(U152+AE153-K153,2))</f>
        <v>0.0</v>
      </c>
      <c r="V153" s="31">
        <f>IF(V152+AF153-L153&lt;=0.01,0,ROUND(V152+AF153-L153,2))</f>
        <v>0.0</v>
      </c>
      <c r="W153" s="31">
        <f>IF(W152+AG153-M153&lt;=0.01,0,ROUND(W152+AG153-M153,2))</f>
        <v>0.0</v>
      </c>
      <c r="X153" s="31">
        <f>IF(X152+AH153-N153&lt;=0.01,0,ROUND(X152+AH153-N153,2))</f>
        <v>0.0</v>
      </c>
      <c r="Y153" s="31">
        <f>IF(Y152+AI153-O153&lt;=0.01,0,ROUND(Y152+AI153-O153,2))</f>
        <v>0.0</v>
      </c>
      <c r="Z153" s="31">
        <f>IF(Z152+AJ153-P153&lt;=0.01,0,ROUND(Z152+AJ153-P153,2))</f>
        <v>0.0</v>
      </c>
      <c r="AA153" s="31">
        <f>IF(AA152+AK153-Q153&lt;=0.01,0,ROUND(AA152+AK153-Q153,2))</f>
        <v>0.0</v>
      </c>
      <c r="AB153" s="31">
        <f>ROUND(R152*AB$5/1200,2)</f>
        <v>0.0</v>
      </c>
      <c r="AC153" s="31">
        <f>ROUND(S152*AC$5/1200,2)</f>
        <v>0.0</v>
      </c>
      <c r="AD153" s="31">
        <f>ROUND(T152*AD$5/1200,2)</f>
        <v>0.0</v>
      </c>
      <c r="AE153" s="31">
        <f>ROUND(U152*AE$5/1200,2)</f>
        <v>0.0</v>
      </c>
      <c r="AF153" s="31">
        <f>ROUND(V152*AF$5/1200,2)</f>
        <v>0.0</v>
      </c>
      <c r="AG153" s="31">
        <f>ROUND(W152*AG$5/1200,2)</f>
        <v>0.0</v>
      </c>
      <c r="AH153" s="31">
        <f>ROUND(X152*AH$5/1200,2)</f>
        <v>0.0</v>
      </c>
      <c r="AI153" s="31">
        <f>ROUND(Y152*AI$5/1200,2)</f>
        <v>0.0</v>
      </c>
      <c r="AJ153" s="31">
        <f>ROUND(Z152*AJ$5/1200,2)</f>
        <v>0.0</v>
      </c>
      <c r="AK153" s="31">
        <f>ROUND(AA152*AK$5/1200,2)</f>
        <v>0.0</v>
      </c>
      <c r="AL153" s="31">
        <f>MIN(AL$5,R152+AB153)</f>
        <v>0.0</v>
      </c>
      <c r="AM153" s="31">
        <f>MIN(AM$5,S152+AC153)</f>
        <v>0.0</v>
      </c>
      <c r="AN153" s="31">
        <f>MIN(AN$5,T152+AD153)</f>
        <v>0.0</v>
      </c>
      <c r="AO153" s="31">
        <f>MIN(AO$5,U152+AE153)</f>
        <v>0.0</v>
      </c>
      <c r="AP153" s="31">
        <f>MIN(AP$5,V152+AF153)</f>
        <v>0.0</v>
      </c>
      <c r="AQ153" s="31">
        <f>MIN(AQ$5,W152+AG153)</f>
        <v>0.0</v>
      </c>
      <c r="AR153" s="31">
        <f>MIN(AR$5,X152+AH153)</f>
        <v>0.0</v>
      </c>
      <c r="AS153" s="31">
        <f>MIN(AS$5,Y152+AI153)</f>
        <v>0.0</v>
      </c>
      <c r="AT153" s="31">
        <f>MIN(AT$5,Z152+AJ153)</f>
        <v>0.0</v>
      </c>
      <c r="AU153" s="31">
        <f>MIN(AU$5,AA152+AK153)</f>
        <v>0.0</v>
      </c>
    </row>
    <row r="154">
      <c r="A154" s="25" t="str">
        <f>IF(F153&gt;0.005,149,"")</f>
        <v/>
      </c>
      <c r="B154" s="33" t="str">
        <f>IF(A154="","",EDATE(Долги!$D$5,148))</f>
        <v/>
      </c>
      <c r="C154" s="31">
        <f>SUM(H154:Q154)</f>
        <v>0.0</v>
      </c>
      <c r="D154" s="31">
        <f>SUM(AB154:AK154)</f>
        <v>0.0</v>
      </c>
      <c r="E154" s="31">
        <f>C154-D154</f>
        <v>0.0</v>
      </c>
      <c r="F154" s="31">
        <f>SUM(R154:AA154)</f>
        <v>0.0</v>
      </c>
      <c r="G154" s="34" t="str">
        <f>IF(OR(A154="",$F$5&lt;=0),"",REPT("█",ROUND(20*F154/$F$5,0)))</f>
        <v/>
      </c>
      <c r="H154" s="31">
        <f>AL154+MIN(R153+AB154-AL154,MAX(0,ROUND(Долги!$D$19-SUM($AL154:$AU154),2)))</f>
        <v>0.0</v>
      </c>
      <c r="I154" s="31">
        <f>AM154+MIN(S153+AC154-AM154,MAX(0,ROUND(ROUND(Долги!$D$19-SUM($AL154:$AU154),2)-(SUM($H154:H154)-SUM($AL154:AL154)),2)))</f>
        <v>0.0</v>
      </c>
      <c r="J154" s="31">
        <f>AN154+MIN(T153+AD154-AN154,MAX(0,ROUND(ROUND(Долги!$D$19-SUM($AL154:$AU154),2)-(SUM($H154:I154)-SUM($AL154:AM154)),2)))</f>
        <v>0.0</v>
      </c>
      <c r="K154" s="31">
        <f>AO154+MIN(U153+AE154-AO154,MAX(0,ROUND(ROUND(Долги!$D$19-SUM($AL154:$AU154),2)-(SUM($H154:J154)-SUM($AL154:AN154)),2)))</f>
        <v>0.0</v>
      </c>
      <c r="L154" s="31">
        <f>AP154+MIN(V153+AF154-AP154,MAX(0,ROUND(ROUND(Долги!$D$19-SUM($AL154:$AU154),2)-(SUM($H154:K154)-SUM($AL154:AO154)),2)))</f>
        <v>0.0</v>
      </c>
      <c r="M154" s="31">
        <f>AQ154+MIN(W153+AG154-AQ154,MAX(0,ROUND(ROUND(Долги!$D$19-SUM($AL154:$AU154),2)-(SUM($H154:L154)-SUM($AL154:AP154)),2)))</f>
        <v>0.0</v>
      </c>
      <c r="N154" s="31">
        <f>AR154+MIN(X153+AH154-AR154,MAX(0,ROUND(ROUND(Долги!$D$19-SUM($AL154:$AU154),2)-(SUM($H154:M154)-SUM($AL154:AQ154)),2)))</f>
        <v>0.0</v>
      </c>
      <c r="O154" s="31">
        <f>AS154+MIN(Y153+AI154-AS154,MAX(0,ROUND(ROUND(Долги!$D$19-SUM($AL154:$AU154),2)-(SUM($H154:N154)-SUM($AL154:AR154)),2)))</f>
        <v>0.0</v>
      </c>
      <c r="P154" s="31">
        <f>AT154+MIN(Z153+AJ154-AT154,MAX(0,ROUND(ROUND(Долги!$D$19-SUM($AL154:$AU154),2)-(SUM($H154:O154)-SUM($AL154:AS154)),2)))</f>
        <v>0.0</v>
      </c>
      <c r="Q154" s="31">
        <f>AU154+MIN(AA153+AK154-AU154,MAX(0,ROUND(ROUND(Долги!$D$19-SUM($AL154:$AU154),2)-(SUM($H154:P154)-SUM($AL154:AT154)),2)))</f>
        <v>0.0</v>
      </c>
      <c r="R154" s="31">
        <f>IF(R153+AB154-H154&lt;=0.01,0,ROUND(R153+AB154-H154,2))</f>
        <v>0.0</v>
      </c>
      <c r="S154" s="31">
        <f>IF(S153+AC154-I154&lt;=0.01,0,ROUND(S153+AC154-I154,2))</f>
        <v>0.0</v>
      </c>
      <c r="T154" s="31">
        <f>IF(T153+AD154-J154&lt;=0.01,0,ROUND(T153+AD154-J154,2))</f>
        <v>0.0</v>
      </c>
      <c r="U154" s="31">
        <f>IF(U153+AE154-K154&lt;=0.01,0,ROUND(U153+AE154-K154,2))</f>
        <v>0.0</v>
      </c>
      <c r="V154" s="31">
        <f>IF(V153+AF154-L154&lt;=0.01,0,ROUND(V153+AF154-L154,2))</f>
        <v>0.0</v>
      </c>
      <c r="W154" s="31">
        <f>IF(W153+AG154-M154&lt;=0.01,0,ROUND(W153+AG154-M154,2))</f>
        <v>0.0</v>
      </c>
      <c r="X154" s="31">
        <f>IF(X153+AH154-N154&lt;=0.01,0,ROUND(X153+AH154-N154,2))</f>
        <v>0.0</v>
      </c>
      <c r="Y154" s="31">
        <f>IF(Y153+AI154-O154&lt;=0.01,0,ROUND(Y153+AI154-O154,2))</f>
        <v>0.0</v>
      </c>
      <c r="Z154" s="31">
        <f>IF(Z153+AJ154-P154&lt;=0.01,0,ROUND(Z153+AJ154-P154,2))</f>
        <v>0.0</v>
      </c>
      <c r="AA154" s="31">
        <f>IF(AA153+AK154-Q154&lt;=0.01,0,ROUND(AA153+AK154-Q154,2))</f>
        <v>0.0</v>
      </c>
      <c r="AB154" s="31">
        <f>ROUND(R153*AB$5/1200,2)</f>
        <v>0.0</v>
      </c>
      <c r="AC154" s="31">
        <f>ROUND(S153*AC$5/1200,2)</f>
        <v>0.0</v>
      </c>
      <c r="AD154" s="31">
        <f>ROUND(T153*AD$5/1200,2)</f>
        <v>0.0</v>
      </c>
      <c r="AE154" s="31">
        <f>ROUND(U153*AE$5/1200,2)</f>
        <v>0.0</v>
      </c>
      <c r="AF154" s="31">
        <f>ROUND(V153*AF$5/1200,2)</f>
        <v>0.0</v>
      </c>
      <c r="AG154" s="31">
        <f>ROUND(W153*AG$5/1200,2)</f>
        <v>0.0</v>
      </c>
      <c r="AH154" s="31">
        <f>ROUND(X153*AH$5/1200,2)</f>
        <v>0.0</v>
      </c>
      <c r="AI154" s="31">
        <f>ROUND(Y153*AI$5/1200,2)</f>
        <v>0.0</v>
      </c>
      <c r="AJ154" s="31">
        <f>ROUND(Z153*AJ$5/1200,2)</f>
        <v>0.0</v>
      </c>
      <c r="AK154" s="31">
        <f>ROUND(AA153*AK$5/1200,2)</f>
        <v>0.0</v>
      </c>
      <c r="AL154" s="31">
        <f>MIN(AL$5,R153+AB154)</f>
        <v>0.0</v>
      </c>
      <c r="AM154" s="31">
        <f>MIN(AM$5,S153+AC154)</f>
        <v>0.0</v>
      </c>
      <c r="AN154" s="31">
        <f>MIN(AN$5,T153+AD154)</f>
        <v>0.0</v>
      </c>
      <c r="AO154" s="31">
        <f>MIN(AO$5,U153+AE154)</f>
        <v>0.0</v>
      </c>
      <c r="AP154" s="31">
        <f>MIN(AP$5,V153+AF154)</f>
        <v>0.0</v>
      </c>
      <c r="AQ154" s="31">
        <f>MIN(AQ$5,W153+AG154)</f>
        <v>0.0</v>
      </c>
      <c r="AR154" s="31">
        <f>MIN(AR$5,X153+AH154)</f>
        <v>0.0</v>
      </c>
      <c r="AS154" s="31">
        <f>MIN(AS$5,Y153+AI154)</f>
        <v>0.0</v>
      </c>
      <c r="AT154" s="31">
        <f>MIN(AT$5,Z153+AJ154)</f>
        <v>0.0</v>
      </c>
      <c r="AU154" s="31">
        <f>MIN(AU$5,AA153+AK154)</f>
        <v>0.0</v>
      </c>
    </row>
    <row r="155">
      <c r="A155" s="25" t="str">
        <f>IF(F154&gt;0.005,150,"")</f>
        <v/>
      </c>
      <c r="B155" s="33" t="str">
        <f>IF(A155="","",EDATE(Долги!$D$5,149))</f>
        <v/>
      </c>
      <c r="C155" s="31">
        <f>SUM(H155:Q155)</f>
        <v>0.0</v>
      </c>
      <c r="D155" s="31">
        <f>SUM(AB155:AK155)</f>
        <v>0.0</v>
      </c>
      <c r="E155" s="31">
        <f>C155-D155</f>
        <v>0.0</v>
      </c>
      <c r="F155" s="31">
        <f>SUM(R155:AA155)</f>
        <v>0.0</v>
      </c>
      <c r="G155" s="34" t="str">
        <f>IF(OR(A155="",$F$5&lt;=0),"",REPT("█",ROUND(20*F155/$F$5,0)))</f>
        <v/>
      </c>
      <c r="H155" s="31">
        <f>AL155+MIN(R154+AB155-AL155,MAX(0,ROUND(Долги!$D$19-SUM($AL155:$AU155),2)))</f>
        <v>0.0</v>
      </c>
      <c r="I155" s="31">
        <f>AM155+MIN(S154+AC155-AM155,MAX(0,ROUND(ROUND(Долги!$D$19-SUM($AL155:$AU155),2)-(SUM($H155:H155)-SUM($AL155:AL155)),2)))</f>
        <v>0.0</v>
      </c>
      <c r="J155" s="31">
        <f>AN155+MIN(T154+AD155-AN155,MAX(0,ROUND(ROUND(Долги!$D$19-SUM($AL155:$AU155),2)-(SUM($H155:I155)-SUM($AL155:AM155)),2)))</f>
        <v>0.0</v>
      </c>
      <c r="K155" s="31">
        <f>AO155+MIN(U154+AE155-AO155,MAX(0,ROUND(ROUND(Долги!$D$19-SUM($AL155:$AU155),2)-(SUM($H155:J155)-SUM($AL155:AN155)),2)))</f>
        <v>0.0</v>
      </c>
      <c r="L155" s="31">
        <f>AP155+MIN(V154+AF155-AP155,MAX(0,ROUND(ROUND(Долги!$D$19-SUM($AL155:$AU155),2)-(SUM($H155:K155)-SUM($AL155:AO155)),2)))</f>
        <v>0.0</v>
      </c>
      <c r="M155" s="31">
        <f>AQ155+MIN(W154+AG155-AQ155,MAX(0,ROUND(ROUND(Долги!$D$19-SUM($AL155:$AU155),2)-(SUM($H155:L155)-SUM($AL155:AP155)),2)))</f>
        <v>0.0</v>
      </c>
      <c r="N155" s="31">
        <f>AR155+MIN(X154+AH155-AR155,MAX(0,ROUND(ROUND(Долги!$D$19-SUM($AL155:$AU155),2)-(SUM($H155:M155)-SUM($AL155:AQ155)),2)))</f>
        <v>0.0</v>
      </c>
      <c r="O155" s="31">
        <f>AS155+MIN(Y154+AI155-AS155,MAX(0,ROUND(ROUND(Долги!$D$19-SUM($AL155:$AU155),2)-(SUM($H155:N155)-SUM($AL155:AR155)),2)))</f>
        <v>0.0</v>
      </c>
      <c r="P155" s="31">
        <f>AT155+MIN(Z154+AJ155-AT155,MAX(0,ROUND(ROUND(Долги!$D$19-SUM($AL155:$AU155),2)-(SUM($H155:O155)-SUM($AL155:AS155)),2)))</f>
        <v>0.0</v>
      </c>
      <c r="Q155" s="31">
        <f>AU155+MIN(AA154+AK155-AU155,MAX(0,ROUND(ROUND(Долги!$D$19-SUM($AL155:$AU155),2)-(SUM($H155:P155)-SUM($AL155:AT155)),2)))</f>
        <v>0.0</v>
      </c>
      <c r="R155" s="31">
        <f>IF(R154+AB155-H155&lt;=0.01,0,ROUND(R154+AB155-H155,2))</f>
        <v>0.0</v>
      </c>
      <c r="S155" s="31">
        <f>IF(S154+AC155-I155&lt;=0.01,0,ROUND(S154+AC155-I155,2))</f>
        <v>0.0</v>
      </c>
      <c r="T155" s="31">
        <f>IF(T154+AD155-J155&lt;=0.01,0,ROUND(T154+AD155-J155,2))</f>
        <v>0.0</v>
      </c>
      <c r="U155" s="31">
        <f>IF(U154+AE155-K155&lt;=0.01,0,ROUND(U154+AE155-K155,2))</f>
        <v>0.0</v>
      </c>
      <c r="V155" s="31">
        <f>IF(V154+AF155-L155&lt;=0.01,0,ROUND(V154+AF155-L155,2))</f>
        <v>0.0</v>
      </c>
      <c r="W155" s="31">
        <f>IF(W154+AG155-M155&lt;=0.01,0,ROUND(W154+AG155-M155,2))</f>
        <v>0.0</v>
      </c>
      <c r="X155" s="31">
        <f>IF(X154+AH155-N155&lt;=0.01,0,ROUND(X154+AH155-N155,2))</f>
        <v>0.0</v>
      </c>
      <c r="Y155" s="31">
        <f>IF(Y154+AI155-O155&lt;=0.01,0,ROUND(Y154+AI155-O155,2))</f>
        <v>0.0</v>
      </c>
      <c r="Z155" s="31">
        <f>IF(Z154+AJ155-P155&lt;=0.01,0,ROUND(Z154+AJ155-P155,2))</f>
        <v>0.0</v>
      </c>
      <c r="AA155" s="31">
        <f>IF(AA154+AK155-Q155&lt;=0.01,0,ROUND(AA154+AK155-Q155,2))</f>
        <v>0.0</v>
      </c>
      <c r="AB155" s="31">
        <f>ROUND(R154*AB$5/1200,2)</f>
        <v>0.0</v>
      </c>
      <c r="AC155" s="31">
        <f>ROUND(S154*AC$5/1200,2)</f>
        <v>0.0</v>
      </c>
      <c r="AD155" s="31">
        <f>ROUND(T154*AD$5/1200,2)</f>
        <v>0.0</v>
      </c>
      <c r="AE155" s="31">
        <f>ROUND(U154*AE$5/1200,2)</f>
        <v>0.0</v>
      </c>
      <c r="AF155" s="31">
        <f>ROUND(V154*AF$5/1200,2)</f>
        <v>0.0</v>
      </c>
      <c r="AG155" s="31">
        <f>ROUND(W154*AG$5/1200,2)</f>
        <v>0.0</v>
      </c>
      <c r="AH155" s="31">
        <f>ROUND(X154*AH$5/1200,2)</f>
        <v>0.0</v>
      </c>
      <c r="AI155" s="31">
        <f>ROUND(Y154*AI$5/1200,2)</f>
        <v>0.0</v>
      </c>
      <c r="AJ155" s="31">
        <f>ROUND(Z154*AJ$5/1200,2)</f>
        <v>0.0</v>
      </c>
      <c r="AK155" s="31">
        <f>ROUND(AA154*AK$5/1200,2)</f>
        <v>0.0</v>
      </c>
      <c r="AL155" s="31">
        <f>MIN(AL$5,R154+AB155)</f>
        <v>0.0</v>
      </c>
      <c r="AM155" s="31">
        <f>MIN(AM$5,S154+AC155)</f>
        <v>0.0</v>
      </c>
      <c r="AN155" s="31">
        <f>MIN(AN$5,T154+AD155)</f>
        <v>0.0</v>
      </c>
      <c r="AO155" s="31">
        <f>MIN(AO$5,U154+AE155)</f>
        <v>0.0</v>
      </c>
      <c r="AP155" s="31">
        <f>MIN(AP$5,V154+AF155)</f>
        <v>0.0</v>
      </c>
      <c r="AQ155" s="31">
        <f>MIN(AQ$5,W154+AG155)</f>
        <v>0.0</v>
      </c>
      <c r="AR155" s="31">
        <f>MIN(AR$5,X154+AH155)</f>
        <v>0.0</v>
      </c>
      <c r="AS155" s="31">
        <f>MIN(AS$5,Y154+AI155)</f>
        <v>0.0</v>
      </c>
      <c r="AT155" s="31">
        <f>MIN(AT$5,Z154+AJ155)</f>
        <v>0.0</v>
      </c>
      <c r="AU155" s="31">
        <f>MIN(AU$5,AA154+AK155)</f>
        <v>0.0</v>
      </c>
    </row>
    <row r="156">
      <c r="A156" s="25" t="str">
        <f>IF(F155&gt;0.005,151,"")</f>
        <v/>
      </c>
      <c r="B156" s="33" t="str">
        <f>IF(A156="","",EDATE(Долги!$D$5,150))</f>
        <v/>
      </c>
      <c r="C156" s="31">
        <f>SUM(H156:Q156)</f>
        <v>0.0</v>
      </c>
      <c r="D156" s="31">
        <f>SUM(AB156:AK156)</f>
        <v>0.0</v>
      </c>
      <c r="E156" s="31">
        <f>C156-D156</f>
        <v>0.0</v>
      </c>
      <c r="F156" s="31">
        <f>SUM(R156:AA156)</f>
        <v>0.0</v>
      </c>
      <c r="G156" s="34" t="str">
        <f>IF(OR(A156="",$F$5&lt;=0),"",REPT("█",ROUND(20*F156/$F$5,0)))</f>
        <v/>
      </c>
      <c r="H156" s="31">
        <f>AL156+MIN(R155+AB156-AL156,MAX(0,ROUND(Долги!$D$19-SUM($AL156:$AU156),2)))</f>
        <v>0.0</v>
      </c>
      <c r="I156" s="31">
        <f>AM156+MIN(S155+AC156-AM156,MAX(0,ROUND(ROUND(Долги!$D$19-SUM($AL156:$AU156),2)-(SUM($H156:H156)-SUM($AL156:AL156)),2)))</f>
        <v>0.0</v>
      </c>
      <c r="J156" s="31">
        <f>AN156+MIN(T155+AD156-AN156,MAX(0,ROUND(ROUND(Долги!$D$19-SUM($AL156:$AU156),2)-(SUM($H156:I156)-SUM($AL156:AM156)),2)))</f>
        <v>0.0</v>
      </c>
      <c r="K156" s="31">
        <f>AO156+MIN(U155+AE156-AO156,MAX(0,ROUND(ROUND(Долги!$D$19-SUM($AL156:$AU156),2)-(SUM($H156:J156)-SUM($AL156:AN156)),2)))</f>
        <v>0.0</v>
      </c>
      <c r="L156" s="31">
        <f>AP156+MIN(V155+AF156-AP156,MAX(0,ROUND(ROUND(Долги!$D$19-SUM($AL156:$AU156),2)-(SUM($H156:K156)-SUM($AL156:AO156)),2)))</f>
        <v>0.0</v>
      </c>
      <c r="M156" s="31">
        <f>AQ156+MIN(W155+AG156-AQ156,MAX(0,ROUND(ROUND(Долги!$D$19-SUM($AL156:$AU156),2)-(SUM($H156:L156)-SUM($AL156:AP156)),2)))</f>
        <v>0.0</v>
      </c>
      <c r="N156" s="31">
        <f>AR156+MIN(X155+AH156-AR156,MAX(0,ROUND(ROUND(Долги!$D$19-SUM($AL156:$AU156),2)-(SUM($H156:M156)-SUM($AL156:AQ156)),2)))</f>
        <v>0.0</v>
      </c>
      <c r="O156" s="31">
        <f>AS156+MIN(Y155+AI156-AS156,MAX(0,ROUND(ROUND(Долги!$D$19-SUM($AL156:$AU156),2)-(SUM($H156:N156)-SUM($AL156:AR156)),2)))</f>
        <v>0.0</v>
      </c>
      <c r="P156" s="31">
        <f>AT156+MIN(Z155+AJ156-AT156,MAX(0,ROUND(ROUND(Долги!$D$19-SUM($AL156:$AU156),2)-(SUM($H156:O156)-SUM($AL156:AS156)),2)))</f>
        <v>0.0</v>
      </c>
      <c r="Q156" s="31">
        <f>AU156+MIN(AA155+AK156-AU156,MAX(0,ROUND(ROUND(Долги!$D$19-SUM($AL156:$AU156),2)-(SUM($H156:P156)-SUM($AL156:AT156)),2)))</f>
        <v>0.0</v>
      </c>
      <c r="R156" s="31">
        <f>IF(R155+AB156-H156&lt;=0.01,0,ROUND(R155+AB156-H156,2))</f>
        <v>0.0</v>
      </c>
      <c r="S156" s="31">
        <f>IF(S155+AC156-I156&lt;=0.01,0,ROUND(S155+AC156-I156,2))</f>
        <v>0.0</v>
      </c>
      <c r="T156" s="31">
        <f>IF(T155+AD156-J156&lt;=0.01,0,ROUND(T155+AD156-J156,2))</f>
        <v>0.0</v>
      </c>
      <c r="U156" s="31">
        <f>IF(U155+AE156-K156&lt;=0.01,0,ROUND(U155+AE156-K156,2))</f>
        <v>0.0</v>
      </c>
      <c r="V156" s="31">
        <f>IF(V155+AF156-L156&lt;=0.01,0,ROUND(V155+AF156-L156,2))</f>
        <v>0.0</v>
      </c>
      <c r="W156" s="31">
        <f>IF(W155+AG156-M156&lt;=0.01,0,ROUND(W155+AG156-M156,2))</f>
        <v>0.0</v>
      </c>
      <c r="X156" s="31">
        <f>IF(X155+AH156-N156&lt;=0.01,0,ROUND(X155+AH156-N156,2))</f>
        <v>0.0</v>
      </c>
      <c r="Y156" s="31">
        <f>IF(Y155+AI156-O156&lt;=0.01,0,ROUND(Y155+AI156-O156,2))</f>
        <v>0.0</v>
      </c>
      <c r="Z156" s="31">
        <f>IF(Z155+AJ156-P156&lt;=0.01,0,ROUND(Z155+AJ156-P156,2))</f>
        <v>0.0</v>
      </c>
      <c r="AA156" s="31">
        <f>IF(AA155+AK156-Q156&lt;=0.01,0,ROUND(AA155+AK156-Q156,2))</f>
        <v>0.0</v>
      </c>
      <c r="AB156" s="31">
        <f>ROUND(R155*AB$5/1200,2)</f>
        <v>0.0</v>
      </c>
      <c r="AC156" s="31">
        <f>ROUND(S155*AC$5/1200,2)</f>
        <v>0.0</v>
      </c>
      <c r="AD156" s="31">
        <f>ROUND(T155*AD$5/1200,2)</f>
        <v>0.0</v>
      </c>
      <c r="AE156" s="31">
        <f>ROUND(U155*AE$5/1200,2)</f>
        <v>0.0</v>
      </c>
      <c r="AF156" s="31">
        <f>ROUND(V155*AF$5/1200,2)</f>
        <v>0.0</v>
      </c>
      <c r="AG156" s="31">
        <f>ROUND(W155*AG$5/1200,2)</f>
        <v>0.0</v>
      </c>
      <c r="AH156" s="31">
        <f>ROUND(X155*AH$5/1200,2)</f>
        <v>0.0</v>
      </c>
      <c r="AI156" s="31">
        <f>ROUND(Y155*AI$5/1200,2)</f>
        <v>0.0</v>
      </c>
      <c r="AJ156" s="31">
        <f>ROUND(Z155*AJ$5/1200,2)</f>
        <v>0.0</v>
      </c>
      <c r="AK156" s="31">
        <f>ROUND(AA155*AK$5/1200,2)</f>
        <v>0.0</v>
      </c>
      <c r="AL156" s="31">
        <f>MIN(AL$5,R155+AB156)</f>
        <v>0.0</v>
      </c>
      <c r="AM156" s="31">
        <f>MIN(AM$5,S155+AC156)</f>
        <v>0.0</v>
      </c>
      <c r="AN156" s="31">
        <f>MIN(AN$5,T155+AD156)</f>
        <v>0.0</v>
      </c>
      <c r="AO156" s="31">
        <f>MIN(AO$5,U155+AE156)</f>
        <v>0.0</v>
      </c>
      <c r="AP156" s="31">
        <f>MIN(AP$5,V155+AF156)</f>
        <v>0.0</v>
      </c>
      <c r="AQ156" s="31">
        <f>MIN(AQ$5,W155+AG156)</f>
        <v>0.0</v>
      </c>
      <c r="AR156" s="31">
        <f>MIN(AR$5,X155+AH156)</f>
        <v>0.0</v>
      </c>
      <c r="AS156" s="31">
        <f>MIN(AS$5,Y155+AI156)</f>
        <v>0.0</v>
      </c>
      <c r="AT156" s="31">
        <f>MIN(AT$5,Z155+AJ156)</f>
        <v>0.0</v>
      </c>
      <c r="AU156" s="31">
        <f>MIN(AU$5,AA155+AK156)</f>
        <v>0.0</v>
      </c>
    </row>
    <row r="157">
      <c r="A157" s="25" t="str">
        <f>IF(F156&gt;0.005,152,"")</f>
        <v/>
      </c>
      <c r="B157" s="33" t="str">
        <f>IF(A157="","",EDATE(Долги!$D$5,151))</f>
        <v/>
      </c>
      <c r="C157" s="31">
        <f>SUM(H157:Q157)</f>
        <v>0.0</v>
      </c>
      <c r="D157" s="31">
        <f>SUM(AB157:AK157)</f>
        <v>0.0</v>
      </c>
      <c r="E157" s="31">
        <f>C157-D157</f>
        <v>0.0</v>
      </c>
      <c r="F157" s="31">
        <f>SUM(R157:AA157)</f>
        <v>0.0</v>
      </c>
      <c r="G157" s="34" t="str">
        <f>IF(OR(A157="",$F$5&lt;=0),"",REPT("█",ROUND(20*F157/$F$5,0)))</f>
        <v/>
      </c>
      <c r="H157" s="31">
        <f>AL157+MIN(R156+AB157-AL157,MAX(0,ROUND(Долги!$D$19-SUM($AL157:$AU157),2)))</f>
        <v>0.0</v>
      </c>
      <c r="I157" s="31">
        <f>AM157+MIN(S156+AC157-AM157,MAX(0,ROUND(ROUND(Долги!$D$19-SUM($AL157:$AU157),2)-(SUM($H157:H157)-SUM($AL157:AL157)),2)))</f>
        <v>0.0</v>
      </c>
      <c r="J157" s="31">
        <f>AN157+MIN(T156+AD157-AN157,MAX(0,ROUND(ROUND(Долги!$D$19-SUM($AL157:$AU157),2)-(SUM($H157:I157)-SUM($AL157:AM157)),2)))</f>
        <v>0.0</v>
      </c>
      <c r="K157" s="31">
        <f>AO157+MIN(U156+AE157-AO157,MAX(0,ROUND(ROUND(Долги!$D$19-SUM($AL157:$AU157),2)-(SUM($H157:J157)-SUM($AL157:AN157)),2)))</f>
        <v>0.0</v>
      </c>
      <c r="L157" s="31">
        <f>AP157+MIN(V156+AF157-AP157,MAX(0,ROUND(ROUND(Долги!$D$19-SUM($AL157:$AU157),2)-(SUM($H157:K157)-SUM($AL157:AO157)),2)))</f>
        <v>0.0</v>
      </c>
      <c r="M157" s="31">
        <f>AQ157+MIN(W156+AG157-AQ157,MAX(0,ROUND(ROUND(Долги!$D$19-SUM($AL157:$AU157),2)-(SUM($H157:L157)-SUM($AL157:AP157)),2)))</f>
        <v>0.0</v>
      </c>
      <c r="N157" s="31">
        <f>AR157+MIN(X156+AH157-AR157,MAX(0,ROUND(ROUND(Долги!$D$19-SUM($AL157:$AU157),2)-(SUM($H157:M157)-SUM($AL157:AQ157)),2)))</f>
        <v>0.0</v>
      </c>
      <c r="O157" s="31">
        <f>AS157+MIN(Y156+AI157-AS157,MAX(0,ROUND(ROUND(Долги!$D$19-SUM($AL157:$AU157),2)-(SUM($H157:N157)-SUM($AL157:AR157)),2)))</f>
        <v>0.0</v>
      </c>
      <c r="P157" s="31">
        <f>AT157+MIN(Z156+AJ157-AT157,MAX(0,ROUND(ROUND(Долги!$D$19-SUM($AL157:$AU157),2)-(SUM($H157:O157)-SUM($AL157:AS157)),2)))</f>
        <v>0.0</v>
      </c>
      <c r="Q157" s="31">
        <f>AU157+MIN(AA156+AK157-AU157,MAX(0,ROUND(ROUND(Долги!$D$19-SUM($AL157:$AU157),2)-(SUM($H157:P157)-SUM($AL157:AT157)),2)))</f>
        <v>0.0</v>
      </c>
      <c r="R157" s="31">
        <f>IF(R156+AB157-H157&lt;=0.01,0,ROUND(R156+AB157-H157,2))</f>
        <v>0.0</v>
      </c>
      <c r="S157" s="31">
        <f>IF(S156+AC157-I157&lt;=0.01,0,ROUND(S156+AC157-I157,2))</f>
        <v>0.0</v>
      </c>
      <c r="T157" s="31">
        <f>IF(T156+AD157-J157&lt;=0.01,0,ROUND(T156+AD157-J157,2))</f>
        <v>0.0</v>
      </c>
      <c r="U157" s="31">
        <f>IF(U156+AE157-K157&lt;=0.01,0,ROUND(U156+AE157-K157,2))</f>
        <v>0.0</v>
      </c>
      <c r="V157" s="31">
        <f>IF(V156+AF157-L157&lt;=0.01,0,ROUND(V156+AF157-L157,2))</f>
        <v>0.0</v>
      </c>
      <c r="W157" s="31">
        <f>IF(W156+AG157-M157&lt;=0.01,0,ROUND(W156+AG157-M157,2))</f>
        <v>0.0</v>
      </c>
      <c r="X157" s="31">
        <f>IF(X156+AH157-N157&lt;=0.01,0,ROUND(X156+AH157-N157,2))</f>
        <v>0.0</v>
      </c>
      <c r="Y157" s="31">
        <f>IF(Y156+AI157-O157&lt;=0.01,0,ROUND(Y156+AI157-O157,2))</f>
        <v>0.0</v>
      </c>
      <c r="Z157" s="31">
        <f>IF(Z156+AJ157-P157&lt;=0.01,0,ROUND(Z156+AJ157-P157,2))</f>
        <v>0.0</v>
      </c>
      <c r="AA157" s="31">
        <f>IF(AA156+AK157-Q157&lt;=0.01,0,ROUND(AA156+AK157-Q157,2))</f>
        <v>0.0</v>
      </c>
      <c r="AB157" s="31">
        <f>ROUND(R156*AB$5/1200,2)</f>
        <v>0.0</v>
      </c>
      <c r="AC157" s="31">
        <f>ROUND(S156*AC$5/1200,2)</f>
        <v>0.0</v>
      </c>
      <c r="AD157" s="31">
        <f>ROUND(T156*AD$5/1200,2)</f>
        <v>0.0</v>
      </c>
      <c r="AE157" s="31">
        <f>ROUND(U156*AE$5/1200,2)</f>
        <v>0.0</v>
      </c>
      <c r="AF157" s="31">
        <f>ROUND(V156*AF$5/1200,2)</f>
        <v>0.0</v>
      </c>
      <c r="AG157" s="31">
        <f>ROUND(W156*AG$5/1200,2)</f>
        <v>0.0</v>
      </c>
      <c r="AH157" s="31">
        <f>ROUND(X156*AH$5/1200,2)</f>
        <v>0.0</v>
      </c>
      <c r="AI157" s="31">
        <f>ROUND(Y156*AI$5/1200,2)</f>
        <v>0.0</v>
      </c>
      <c r="AJ157" s="31">
        <f>ROUND(Z156*AJ$5/1200,2)</f>
        <v>0.0</v>
      </c>
      <c r="AK157" s="31">
        <f>ROUND(AA156*AK$5/1200,2)</f>
        <v>0.0</v>
      </c>
      <c r="AL157" s="31">
        <f>MIN(AL$5,R156+AB157)</f>
        <v>0.0</v>
      </c>
      <c r="AM157" s="31">
        <f>MIN(AM$5,S156+AC157)</f>
        <v>0.0</v>
      </c>
      <c r="AN157" s="31">
        <f>MIN(AN$5,T156+AD157)</f>
        <v>0.0</v>
      </c>
      <c r="AO157" s="31">
        <f>MIN(AO$5,U156+AE157)</f>
        <v>0.0</v>
      </c>
      <c r="AP157" s="31">
        <f>MIN(AP$5,V156+AF157)</f>
        <v>0.0</v>
      </c>
      <c r="AQ157" s="31">
        <f>MIN(AQ$5,W156+AG157)</f>
        <v>0.0</v>
      </c>
      <c r="AR157" s="31">
        <f>MIN(AR$5,X156+AH157)</f>
        <v>0.0</v>
      </c>
      <c r="AS157" s="31">
        <f>MIN(AS$5,Y156+AI157)</f>
        <v>0.0</v>
      </c>
      <c r="AT157" s="31">
        <f>MIN(AT$5,Z156+AJ157)</f>
        <v>0.0</v>
      </c>
      <c r="AU157" s="31">
        <f>MIN(AU$5,AA156+AK157)</f>
        <v>0.0</v>
      </c>
    </row>
    <row r="158">
      <c r="A158" s="25" t="str">
        <f>IF(F157&gt;0.005,153,"")</f>
        <v/>
      </c>
      <c r="B158" s="33" t="str">
        <f>IF(A158="","",EDATE(Долги!$D$5,152))</f>
        <v/>
      </c>
      <c r="C158" s="31">
        <f>SUM(H158:Q158)</f>
        <v>0.0</v>
      </c>
      <c r="D158" s="31">
        <f>SUM(AB158:AK158)</f>
        <v>0.0</v>
      </c>
      <c r="E158" s="31">
        <f>C158-D158</f>
        <v>0.0</v>
      </c>
      <c r="F158" s="31">
        <f>SUM(R158:AA158)</f>
        <v>0.0</v>
      </c>
      <c r="G158" s="34" t="str">
        <f>IF(OR(A158="",$F$5&lt;=0),"",REPT("█",ROUND(20*F158/$F$5,0)))</f>
        <v/>
      </c>
      <c r="H158" s="31">
        <f>AL158+MIN(R157+AB158-AL158,MAX(0,ROUND(Долги!$D$19-SUM($AL158:$AU158),2)))</f>
        <v>0.0</v>
      </c>
      <c r="I158" s="31">
        <f>AM158+MIN(S157+AC158-AM158,MAX(0,ROUND(ROUND(Долги!$D$19-SUM($AL158:$AU158),2)-(SUM($H158:H158)-SUM($AL158:AL158)),2)))</f>
        <v>0.0</v>
      </c>
      <c r="J158" s="31">
        <f>AN158+MIN(T157+AD158-AN158,MAX(0,ROUND(ROUND(Долги!$D$19-SUM($AL158:$AU158),2)-(SUM($H158:I158)-SUM($AL158:AM158)),2)))</f>
        <v>0.0</v>
      </c>
      <c r="K158" s="31">
        <f>AO158+MIN(U157+AE158-AO158,MAX(0,ROUND(ROUND(Долги!$D$19-SUM($AL158:$AU158),2)-(SUM($H158:J158)-SUM($AL158:AN158)),2)))</f>
        <v>0.0</v>
      </c>
      <c r="L158" s="31">
        <f>AP158+MIN(V157+AF158-AP158,MAX(0,ROUND(ROUND(Долги!$D$19-SUM($AL158:$AU158),2)-(SUM($H158:K158)-SUM($AL158:AO158)),2)))</f>
        <v>0.0</v>
      </c>
      <c r="M158" s="31">
        <f>AQ158+MIN(W157+AG158-AQ158,MAX(0,ROUND(ROUND(Долги!$D$19-SUM($AL158:$AU158),2)-(SUM($H158:L158)-SUM($AL158:AP158)),2)))</f>
        <v>0.0</v>
      </c>
      <c r="N158" s="31">
        <f>AR158+MIN(X157+AH158-AR158,MAX(0,ROUND(ROUND(Долги!$D$19-SUM($AL158:$AU158),2)-(SUM($H158:M158)-SUM($AL158:AQ158)),2)))</f>
        <v>0.0</v>
      </c>
      <c r="O158" s="31">
        <f>AS158+MIN(Y157+AI158-AS158,MAX(0,ROUND(ROUND(Долги!$D$19-SUM($AL158:$AU158),2)-(SUM($H158:N158)-SUM($AL158:AR158)),2)))</f>
        <v>0.0</v>
      </c>
      <c r="P158" s="31">
        <f>AT158+MIN(Z157+AJ158-AT158,MAX(0,ROUND(ROUND(Долги!$D$19-SUM($AL158:$AU158),2)-(SUM($H158:O158)-SUM($AL158:AS158)),2)))</f>
        <v>0.0</v>
      </c>
      <c r="Q158" s="31">
        <f>AU158+MIN(AA157+AK158-AU158,MAX(0,ROUND(ROUND(Долги!$D$19-SUM($AL158:$AU158),2)-(SUM($H158:P158)-SUM($AL158:AT158)),2)))</f>
        <v>0.0</v>
      </c>
      <c r="R158" s="31">
        <f>IF(R157+AB158-H158&lt;=0.01,0,ROUND(R157+AB158-H158,2))</f>
        <v>0.0</v>
      </c>
      <c r="S158" s="31">
        <f>IF(S157+AC158-I158&lt;=0.01,0,ROUND(S157+AC158-I158,2))</f>
        <v>0.0</v>
      </c>
      <c r="T158" s="31">
        <f>IF(T157+AD158-J158&lt;=0.01,0,ROUND(T157+AD158-J158,2))</f>
        <v>0.0</v>
      </c>
      <c r="U158" s="31">
        <f>IF(U157+AE158-K158&lt;=0.01,0,ROUND(U157+AE158-K158,2))</f>
        <v>0.0</v>
      </c>
      <c r="V158" s="31">
        <f>IF(V157+AF158-L158&lt;=0.01,0,ROUND(V157+AF158-L158,2))</f>
        <v>0.0</v>
      </c>
      <c r="W158" s="31">
        <f>IF(W157+AG158-M158&lt;=0.01,0,ROUND(W157+AG158-M158,2))</f>
        <v>0.0</v>
      </c>
      <c r="X158" s="31">
        <f>IF(X157+AH158-N158&lt;=0.01,0,ROUND(X157+AH158-N158,2))</f>
        <v>0.0</v>
      </c>
      <c r="Y158" s="31">
        <f>IF(Y157+AI158-O158&lt;=0.01,0,ROUND(Y157+AI158-O158,2))</f>
        <v>0.0</v>
      </c>
      <c r="Z158" s="31">
        <f>IF(Z157+AJ158-P158&lt;=0.01,0,ROUND(Z157+AJ158-P158,2))</f>
        <v>0.0</v>
      </c>
      <c r="AA158" s="31">
        <f>IF(AA157+AK158-Q158&lt;=0.01,0,ROUND(AA157+AK158-Q158,2))</f>
        <v>0.0</v>
      </c>
      <c r="AB158" s="31">
        <f>ROUND(R157*AB$5/1200,2)</f>
        <v>0.0</v>
      </c>
      <c r="AC158" s="31">
        <f>ROUND(S157*AC$5/1200,2)</f>
        <v>0.0</v>
      </c>
      <c r="AD158" s="31">
        <f>ROUND(T157*AD$5/1200,2)</f>
        <v>0.0</v>
      </c>
      <c r="AE158" s="31">
        <f>ROUND(U157*AE$5/1200,2)</f>
        <v>0.0</v>
      </c>
      <c r="AF158" s="31">
        <f>ROUND(V157*AF$5/1200,2)</f>
        <v>0.0</v>
      </c>
      <c r="AG158" s="31">
        <f>ROUND(W157*AG$5/1200,2)</f>
        <v>0.0</v>
      </c>
      <c r="AH158" s="31">
        <f>ROUND(X157*AH$5/1200,2)</f>
        <v>0.0</v>
      </c>
      <c r="AI158" s="31">
        <f>ROUND(Y157*AI$5/1200,2)</f>
        <v>0.0</v>
      </c>
      <c r="AJ158" s="31">
        <f>ROUND(Z157*AJ$5/1200,2)</f>
        <v>0.0</v>
      </c>
      <c r="AK158" s="31">
        <f>ROUND(AA157*AK$5/1200,2)</f>
        <v>0.0</v>
      </c>
      <c r="AL158" s="31">
        <f>MIN(AL$5,R157+AB158)</f>
        <v>0.0</v>
      </c>
      <c r="AM158" s="31">
        <f>MIN(AM$5,S157+AC158)</f>
        <v>0.0</v>
      </c>
      <c r="AN158" s="31">
        <f>MIN(AN$5,T157+AD158)</f>
        <v>0.0</v>
      </c>
      <c r="AO158" s="31">
        <f>MIN(AO$5,U157+AE158)</f>
        <v>0.0</v>
      </c>
      <c r="AP158" s="31">
        <f>MIN(AP$5,V157+AF158)</f>
        <v>0.0</v>
      </c>
      <c r="AQ158" s="31">
        <f>MIN(AQ$5,W157+AG158)</f>
        <v>0.0</v>
      </c>
      <c r="AR158" s="31">
        <f>MIN(AR$5,X157+AH158)</f>
        <v>0.0</v>
      </c>
      <c r="AS158" s="31">
        <f>MIN(AS$5,Y157+AI158)</f>
        <v>0.0</v>
      </c>
      <c r="AT158" s="31">
        <f>MIN(AT$5,Z157+AJ158)</f>
        <v>0.0</v>
      </c>
      <c r="AU158" s="31">
        <f>MIN(AU$5,AA157+AK158)</f>
        <v>0.0</v>
      </c>
    </row>
    <row r="159">
      <c r="A159" s="25" t="str">
        <f>IF(F158&gt;0.005,154,"")</f>
        <v/>
      </c>
      <c r="B159" s="33" t="str">
        <f>IF(A159="","",EDATE(Долги!$D$5,153))</f>
        <v/>
      </c>
      <c r="C159" s="31">
        <f>SUM(H159:Q159)</f>
        <v>0.0</v>
      </c>
      <c r="D159" s="31">
        <f>SUM(AB159:AK159)</f>
        <v>0.0</v>
      </c>
      <c r="E159" s="31">
        <f>C159-D159</f>
        <v>0.0</v>
      </c>
      <c r="F159" s="31">
        <f>SUM(R159:AA159)</f>
        <v>0.0</v>
      </c>
      <c r="G159" s="34" t="str">
        <f>IF(OR(A159="",$F$5&lt;=0),"",REPT("█",ROUND(20*F159/$F$5,0)))</f>
        <v/>
      </c>
      <c r="H159" s="31">
        <f>AL159+MIN(R158+AB159-AL159,MAX(0,ROUND(Долги!$D$19-SUM($AL159:$AU159),2)))</f>
        <v>0.0</v>
      </c>
      <c r="I159" s="31">
        <f>AM159+MIN(S158+AC159-AM159,MAX(0,ROUND(ROUND(Долги!$D$19-SUM($AL159:$AU159),2)-(SUM($H159:H159)-SUM($AL159:AL159)),2)))</f>
        <v>0.0</v>
      </c>
      <c r="J159" s="31">
        <f>AN159+MIN(T158+AD159-AN159,MAX(0,ROUND(ROUND(Долги!$D$19-SUM($AL159:$AU159),2)-(SUM($H159:I159)-SUM($AL159:AM159)),2)))</f>
        <v>0.0</v>
      </c>
      <c r="K159" s="31">
        <f>AO159+MIN(U158+AE159-AO159,MAX(0,ROUND(ROUND(Долги!$D$19-SUM($AL159:$AU159),2)-(SUM($H159:J159)-SUM($AL159:AN159)),2)))</f>
        <v>0.0</v>
      </c>
      <c r="L159" s="31">
        <f>AP159+MIN(V158+AF159-AP159,MAX(0,ROUND(ROUND(Долги!$D$19-SUM($AL159:$AU159),2)-(SUM($H159:K159)-SUM($AL159:AO159)),2)))</f>
        <v>0.0</v>
      </c>
      <c r="M159" s="31">
        <f>AQ159+MIN(W158+AG159-AQ159,MAX(0,ROUND(ROUND(Долги!$D$19-SUM($AL159:$AU159),2)-(SUM($H159:L159)-SUM($AL159:AP159)),2)))</f>
        <v>0.0</v>
      </c>
      <c r="N159" s="31">
        <f>AR159+MIN(X158+AH159-AR159,MAX(0,ROUND(ROUND(Долги!$D$19-SUM($AL159:$AU159),2)-(SUM($H159:M159)-SUM($AL159:AQ159)),2)))</f>
        <v>0.0</v>
      </c>
      <c r="O159" s="31">
        <f>AS159+MIN(Y158+AI159-AS159,MAX(0,ROUND(ROUND(Долги!$D$19-SUM($AL159:$AU159),2)-(SUM($H159:N159)-SUM($AL159:AR159)),2)))</f>
        <v>0.0</v>
      </c>
      <c r="P159" s="31">
        <f>AT159+MIN(Z158+AJ159-AT159,MAX(0,ROUND(ROUND(Долги!$D$19-SUM($AL159:$AU159),2)-(SUM($H159:O159)-SUM($AL159:AS159)),2)))</f>
        <v>0.0</v>
      </c>
      <c r="Q159" s="31">
        <f>AU159+MIN(AA158+AK159-AU159,MAX(0,ROUND(ROUND(Долги!$D$19-SUM($AL159:$AU159),2)-(SUM($H159:P159)-SUM($AL159:AT159)),2)))</f>
        <v>0.0</v>
      </c>
      <c r="R159" s="31">
        <f>IF(R158+AB159-H159&lt;=0.01,0,ROUND(R158+AB159-H159,2))</f>
        <v>0.0</v>
      </c>
      <c r="S159" s="31">
        <f>IF(S158+AC159-I159&lt;=0.01,0,ROUND(S158+AC159-I159,2))</f>
        <v>0.0</v>
      </c>
      <c r="T159" s="31">
        <f>IF(T158+AD159-J159&lt;=0.01,0,ROUND(T158+AD159-J159,2))</f>
        <v>0.0</v>
      </c>
      <c r="U159" s="31">
        <f>IF(U158+AE159-K159&lt;=0.01,0,ROUND(U158+AE159-K159,2))</f>
        <v>0.0</v>
      </c>
      <c r="V159" s="31">
        <f>IF(V158+AF159-L159&lt;=0.01,0,ROUND(V158+AF159-L159,2))</f>
        <v>0.0</v>
      </c>
      <c r="W159" s="31">
        <f>IF(W158+AG159-M159&lt;=0.01,0,ROUND(W158+AG159-M159,2))</f>
        <v>0.0</v>
      </c>
      <c r="X159" s="31">
        <f>IF(X158+AH159-N159&lt;=0.01,0,ROUND(X158+AH159-N159,2))</f>
        <v>0.0</v>
      </c>
      <c r="Y159" s="31">
        <f>IF(Y158+AI159-O159&lt;=0.01,0,ROUND(Y158+AI159-O159,2))</f>
        <v>0.0</v>
      </c>
      <c r="Z159" s="31">
        <f>IF(Z158+AJ159-P159&lt;=0.01,0,ROUND(Z158+AJ159-P159,2))</f>
        <v>0.0</v>
      </c>
      <c r="AA159" s="31">
        <f>IF(AA158+AK159-Q159&lt;=0.01,0,ROUND(AA158+AK159-Q159,2))</f>
        <v>0.0</v>
      </c>
      <c r="AB159" s="31">
        <f>ROUND(R158*AB$5/1200,2)</f>
        <v>0.0</v>
      </c>
      <c r="AC159" s="31">
        <f>ROUND(S158*AC$5/1200,2)</f>
        <v>0.0</v>
      </c>
      <c r="AD159" s="31">
        <f>ROUND(T158*AD$5/1200,2)</f>
        <v>0.0</v>
      </c>
      <c r="AE159" s="31">
        <f>ROUND(U158*AE$5/1200,2)</f>
        <v>0.0</v>
      </c>
      <c r="AF159" s="31">
        <f>ROUND(V158*AF$5/1200,2)</f>
        <v>0.0</v>
      </c>
      <c r="AG159" s="31">
        <f>ROUND(W158*AG$5/1200,2)</f>
        <v>0.0</v>
      </c>
      <c r="AH159" s="31">
        <f>ROUND(X158*AH$5/1200,2)</f>
        <v>0.0</v>
      </c>
      <c r="AI159" s="31">
        <f>ROUND(Y158*AI$5/1200,2)</f>
        <v>0.0</v>
      </c>
      <c r="AJ159" s="31">
        <f>ROUND(Z158*AJ$5/1200,2)</f>
        <v>0.0</v>
      </c>
      <c r="AK159" s="31">
        <f>ROUND(AA158*AK$5/1200,2)</f>
        <v>0.0</v>
      </c>
      <c r="AL159" s="31">
        <f>MIN(AL$5,R158+AB159)</f>
        <v>0.0</v>
      </c>
      <c r="AM159" s="31">
        <f>MIN(AM$5,S158+AC159)</f>
        <v>0.0</v>
      </c>
      <c r="AN159" s="31">
        <f>MIN(AN$5,T158+AD159)</f>
        <v>0.0</v>
      </c>
      <c r="AO159" s="31">
        <f>MIN(AO$5,U158+AE159)</f>
        <v>0.0</v>
      </c>
      <c r="AP159" s="31">
        <f>MIN(AP$5,V158+AF159)</f>
        <v>0.0</v>
      </c>
      <c r="AQ159" s="31">
        <f>MIN(AQ$5,W158+AG159)</f>
        <v>0.0</v>
      </c>
      <c r="AR159" s="31">
        <f>MIN(AR$5,X158+AH159)</f>
        <v>0.0</v>
      </c>
      <c r="AS159" s="31">
        <f>MIN(AS$5,Y158+AI159)</f>
        <v>0.0</v>
      </c>
      <c r="AT159" s="31">
        <f>MIN(AT$5,Z158+AJ159)</f>
        <v>0.0</v>
      </c>
      <c r="AU159" s="31">
        <f>MIN(AU$5,AA158+AK159)</f>
        <v>0.0</v>
      </c>
    </row>
    <row r="160">
      <c r="A160" s="25" t="str">
        <f>IF(F159&gt;0.005,155,"")</f>
        <v/>
      </c>
      <c r="B160" s="33" t="str">
        <f>IF(A160="","",EDATE(Долги!$D$5,154))</f>
        <v/>
      </c>
      <c r="C160" s="31">
        <f>SUM(H160:Q160)</f>
        <v>0.0</v>
      </c>
      <c r="D160" s="31">
        <f>SUM(AB160:AK160)</f>
        <v>0.0</v>
      </c>
      <c r="E160" s="31">
        <f>C160-D160</f>
        <v>0.0</v>
      </c>
      <c r="F160" s="31">
        <f>SUM(R160:AA160)</f>
        <v>0.0</v>
      </c>
      <c r="G160" s="34" t="str">
        <f>IF(OR(A160="",$F$5&lt;=0),"",REPT("█",ROUND(20*F160/$F$5,0)))</f>
        <v/>
      </c>
      <c r="H160" s="31">
        <f>AL160+MIN(R159+AB160-AL160,MAX(0,ROUND(Долги!$D$19-SUM($AL160:$AU160),2)))</f>
        <v>0.0</v>
      </c>
      <c r="I160" s="31">
        <f>AM160+MIN(S159+AC160-AM160,MAX(0,ROUND(ROUND(Долги!$D$19-SUM($AL160:$AU160),2)-(SUM($H160:H160)-SUM($AL160:AL160)),2)))</f>
        <v>0.0</v>
      </c>
      <c r="J160" s="31">
        <f>AN160+MIN(T159+AD160-AN160,MAX(0,ROUND(ROUND(Долги!$D$19-SUM($AL160:$AU160),2)-(SUM($H160:I160)-SUM($AL160:AM160)),2)))</f>
        <v>0.0</v>
      </c>
      <c r="K160" s="31">
        <f>AO160+MIN(U159+AE160-AO160,MAX(0,ROUND(ROUND(Долги!$D$19-SUM($AL160:$AU160),2)-(SUM($H160:J160)-SUM($AL160:AN160)),2)))</f>
        <v>0.0</v>
      </c>
      <c r="L160" s="31">
        <f>AP160+MIN(V159+AF160-AP160,MAX(0,ROUND(ROUND(Долги!$D$19-SUM($AL160:$AU160),2)-(SUM($H160:K160)-SUM($AL160:AO160)),2)))</f>
        <v>0.0</v>
      </c>
      <c r="M160" s="31">
        <f>AQ160+MIN(W159+AG160-AQ160,MAX(0,ROUND(ROUND(Долги!$D$19-SUM($AL160:$AU160),2)-(SUM($H160:L160)-SUM($AL160:AP160)),2)))</f>
        <v>0.0</v>
      </c>
      <c r="N160" s="31">
        <f>AR160+MIN(X159+AH160-AR160,MAX(0,ROUND(ROUND(Долги!$D$19-SUM($AL160:$AU160),2)-(SUM($H160:M160)-SUM($AL160:AQ160)),2)))</f>
        <v>0.0</v>
      </c>
      <c r="O160" s="31">
        <f>AS160+MIN(Y159+AI160-AS160,MAX(0,ROUND(ROUND(Долги!$D$19-SUM($AL160:$AU160),2)-(SUM($H160:N160)-SUM($AL160:AR160)),2)))</f>
        <v>0.0</v>
      </c>
      <c r="P160" s="31">
        <f>AT160+MIN(Z159+AJ160-AT160,MAX(0,ROUND(ROUND(Долги!$D$19-SUM($AL160:$AU160),2)-(SUM($H160:O160)-SUM($AL160:AS160)),2)))</f>
        <v>0.0</v>
      </c>
      <c r="Q160" s="31">
        <f>AU160+MIN(AA159+AK160-AU160,MAX(0,ROUND(ROUND(Долги!$D$19-SUM($AL160:$AU160),2)-(SUM($H160:P160)-SUM($AL160:AT160)),2)))</f>
        <v>0.0</v>
      </c>
      <c r="R160" s="31">
        <f>IF(R159+AB160-H160&lt;=0.01,0,ROUND(R159+AB160-H160,2))</f>
        <v>0.0</v>
      </c>
      <c r="S160" s="31">
        <f>IF(S159+AC160-I160&lt;=0.01,0,ROUND(S159+AC160-I160,2))</f>
        <v>0.0</v>
      </c>
      <c r="T160" s="31">
        <f>IF(T159+AD160-J160&lt;=0.01,0,ROUND(T159+AD160-J160,2))</f>
        <v>0.0</v>
      </c>
      <c r="U160" s="31">
        <f>IF(U159+AE160-K160&lt;=0.01,0,ROUND(U159+AE160-K160,2))</f>
        <v>0.0</v>
      </c>
      <c r="V160" s="31">
        <f>IF(V159+AF160-L160&lt;=0.01,0,ROUND(V159+AF160-L160,2))</f>
        <v>0.0</v>
      </c>
      <c r="W160" s="31">
        <f>IF(W159+AG160-M160&lt;=0.01,0,ROUND(W159+AG160-M160,2))</f>
        <v>0.0</v>
      </c>
      <c r="X160" s="31">
        <f>IF(X159+AH160-N160&lt;=0.01,0,ROUND(X159+AH160-N160,2))</f>
        <v>0.0</v>
      </c>
      <c r="Y160" s="31">
        <f>IF(Y159+AI160-O160&lt;=0.01,0,ROUND(Y159+AI160-O160,2))</f>
        <v>0.0</v>
      </c>
      <c r="Z160" s="31">
        <f>IF(Z159+AJ160-P160&lt;=0.01,0,ROUND(Z159+AJ160-P160,2))</f>
        <v>0.0</v>
      </c>
      <c r="AA160" s="31">
        <f>IF(AA159+AK160-Q160&lt;=0.01,0,ROUND(AA159+AK160-Q160,2))</f>
        <v>0.0</v>
      </c>
      <c r="AB160" s="31">
        <f>ROUND(R159*AB$5/1200,2)</f>
        <v>0.0</v>
      </c>
      <c r="AC160" s="31">
        <f>ROUND(S159*AC$5/1200,2)</f>
        <v>0.0</v>
      </c>
      <c r="AD160" s="31">
        <f>ROUND(T159*AD$5/1200,2)</f>
        <v>0.0</v>
      </c>
      <c r="AE160" s="31">
        <f>ROUND(U159*AE$5/1200,2)</f>
        <v>0.0</v>
      </c>
      <c r="AF160" s="31">
        <f>ROUND(V159*AF$5/1200,2)</f>
        <v>0.0</v>
      </c>
      <c r="AG160" s="31">
        <f>ROUND(W159*AG$5/1200,2)</f>
        <v>0.0</v>
      </c>
      <c r="AH160" s="31">
        <f>ROUND(X159*AH$5/1200,2)</f>
        <v>0.0</v>
      </c>
      <c r="AI160" s="31">
        <f>ROUND(Y159*AI$5/1200,2)</f>
        <v>0.0</v>
      </c>
      <c r="AJ160" s="31">
        <f>ROUND(Z159*AJ$5/1200,2)</f>
        <v>0.0</v>
      </c>
      <c r="AK160" s="31">
        <f>ROUND(AA159*AK$5/1200,2)</f>
        <v>0.0</v>
      </c>
      <c r="AL160" s="31">
        <f>MIN(AL$5,R159+AB160)</f>
        <v>0.0</v>
      </c>
      <c r="AM160" s="31">
        <f>MIN(AM$5,S159+AC160)</f>
        <v>0.0</v>
      </c>
      <c r="AN160" s="31">
        <f>MIN(AN$5,T159+AD160)</f>
        <v>0.0</v>
      </c>
      <c r="AO160" s="31">
        <f>MIN(AO$5,U159+AE160)</f>
        <v>0.0</v>
      </c>
      <c r="AP160" s="31">
        <f>MIN(AP$5,V159+AF160)</f>
        <v>0.0</v>
      </c>
      <c r="AQ160" s="31">
        <f>MIN(AQ$5,W159+AG160)</f>
        <v>0.0</v>
      </c>
      <c r="AR160" s="31">
        <f>MIN(AR$5,X159+AH160)</f>
        <v>0.0</v>
      </c>
      <c r="AS160" s="31">
        <f>MIN(AS$5,Y159+AI160)</f>
        <v>0.0</v>
      </c>
      <c r="AT160" s="31">
        <f>MIN(AT$5,Z159+AJ160)</f>
        <v>0.0</v>
      </c>
      <c r="AU160" s="31">
        <f>MIN(AU$5,AA159+AK160)</f>
        <v>0.0</v>
      </c>
    </row>
    <row r="161">
      <c r="A161" s="25" t="str">
        <f>IF(F160&gt;0.005,156,"")</f>
        <v/>
      </c>
      <c r="B161" s="33" t="str">
        <f>IF(A161="","",EDATE(Долги!$D$5,155))</f>
        <v/>
      </c>
      <c r="C161" s="31">
        <f>SUM(H161:Q161)</f>
        <v>0.0</v>
      </c>
      <c r="D161" s="31">
        <f>SUM(AB161:AK161)</f>
        <v>0.0</v>
      </c>
      <c r="E161" s="31">
        <f>C161-D161</f>
        <v>0.0</v>
      </c>
      <c r="F161" s="31">
        <f>SUM(R161:AA161)</f>
        <v>0.0</v>
      </c>
      <c r="G161" s="34" t="str">
        <f>IF(OR(A161="",$F$5&lt;=0),"",REPT("█",ROUND(20*F161/$F$5,0)))</f>
        <v/>
      </c>
      <c r="H161" s="31">
        <f>AL161+MIN(R160+AB161-AL161,MAX(0,ROUND(Долги!$D$19-SUM($AL161:$AU161),2)))</f>
        <v>0.0</v>
      </c>
      <c r="I161" s="31">
        <f>AM161+MIN(S160+AC161-AM161,MAX(0,ROUND(ROUND(Долги!$D$19-SUM($AL161:$AU161),2)-(SUM($H161:H161)-SUM($AL161:AL161)),2)))</f>
        <v>0.0</v>
      </c>
      <c r="J161" s="31">
        <f>AN161+MIN(T160+AD161-AN161,MAX(0,ROUND(ROUND(Долги!$D$19-SUM($AL161:$AU161),2)-(SUM($H161:I161)-SUM($AL161:AM161)),2)))</f>
        <v>0.0</v>
      </c>
      <c r="K161" s="31">
        <f>AO161+MIN(U160+AE161-AO161,MAX(0,ROUND(ROUND(Долги!$D$19-SUM($AL161:$AU161),2)-(SUM($H161:J161)-SUM($AL161:AN161)),2)))</f>
        <v>0.0</v>
      </c>
      <c r="L161" s="31">
        <f>AP161+MIN(V160+AF161-AP161,MAX(0,ROUND(ROUND(Долги!$D$19-SUM($AL161:$AU161),2)-(SUM($H161:K161)-SUM($AL161:AO161)),2)))</f>
        <v>0.0</v>
      </c>
      <c r="M161" s="31">
        <f>AQ161+MIN(W160+AG161-AQ161,MAX(0,ROUND(ROUND(Долги!$D$19-SUM($AL161:$AU161),2)-(SUM($H161:L161)-SUM($AL161:AP161)),2)))</f>
        <v>0.0</v>
      </c>
      <c r="N161" s="31">
        <f>AR161+MIN(X160+AH161-AR161,MAX(0,ROUND(ROUND(Долги!$D$19-SUM($AL161:$AU161),2)-(SUM($H161:M161)-SUM($AL161:AQ161)),2)))</f>
        <v>0.0</v>
      </c>
      <c r="O161" s="31">
        <f>AS161+MIN(Y160+AI161-AS161,MAX(0,ROUND(ROUND(Долги!$D$19-SUM($AL161:$AU161),2)-(SUM($H161:N161)-SUM($AL161:AR161)),2)))</f>
        <v>0.0</v>
      </c>
      <c r="P161" s="31">
        <f>AT161+MIN(Z160+AJ161-AT161,MAX(0,ROUND(ROUND(Долги!$D$19-SUM($AL161:$AU161),2)-(SUM($H161:O161)-SUM($AL161:AS161)),2)))</f>
        <v>0.0</v>
      </c>
      <c r="Q161" s="31">
        <f>AU161+MIN(AA160+AK161-AU161,MAX(0,ROUND(ROUND(Долги!$D$19-SUM($AL161:$AU161),2)-(SUM($H161:P161)-SUM($AL161:AT161)),2)))</f>
        <v>0.0</v>
      </c>
      <c r="R161" s="31">
        <f>IF(R160+AB161-H161&lt;=0.01,0,ROUND(R160+AB161-H161,2))</f>
        <v>0.0</v>
      </c>
      <c r="S161" s="31">
        <f>IF(S160+AC161-I161&lt;=0.01,0,ROUND(S160+AC161-I161,2))</f>
        <v>0.0</v>
      </c>
      <c r="T161" s="31">
        <f>IF(T160+AD161-J161&lt;=0.01,0,ROUND(T160+AD161-J161,2))</f>
        <v>0.0</v>
      </c>
      <c r="U161" s="31">
        <f>IF(U160+AE161-K161&lt;=0.01,0,ROUND(U160+AE161-K161,2))</f>
        <v>0.0</v>
      </c>
      <c r="V161" s="31">
        <f>IF(V160+AF161-L161&lt;=0.01,0,ROUND(V160+AF161-L161,2))</f>
        <v>0.0</v>
      </c>
      <c r="W161" s="31">
        <f>IF(W160+AG161-M161&lt;=0.01,0,ROUND(W160+AG161-M161,2))</f>
        <v>0.0</v>
      </c>
      <c r="X161" s="31">
        <f>IF(X160+AH161-N161&lt;=0.01,0,ROUND(X160+AH161-N161,2))</f>
        <v>0.0</v>
      </c>
      <c r="Y161" s="31">
        <f>IF(Y160+AI161-O161&lt;=0.01,0,ROUND(Y160+AI161-O161,2))</f>
        <v>0.0</v>
      </c>
      <c r="Z161" s="31">
        <f>IF(Z160+AJ161-P161&lt;=0.01,0,ROUND(Z160+AJ161-P161,2))</f>
        <v>0.0</v>
      </c>
      <c r="AA161" s="31">
        <f>IF(AA160+AK161-Q161&lt;=0.01,0,ROUND(AA160+AK161-Q161,2))</f>
        <v>0.0</v>
      </c>
      <c r="AB161" s="31">
        <f>ROUND(R160*AB$5/1200,2)</f>
        <v>0.0</v>
      </c>
      <c r="AC161" s="31">
        <f>ROUND(S160*AC$5/1200,2)</f>
        <v>0.0</v>
      </c>
      <c r="AD161" s="31">
        <f>ROUND(T160*AD$5/1200,2)</f>
        <v>0.0</v>
      </c>
      <c r="AE161" s="31">
        <f>ROUND(U160*AE$5/1200,2)</f>
        <v>0.0</v>
      </c>
      <c r="AF161" s="31">
        <f>ROUND(V160*AF$5/1200,2)</f>
        <v>0.0</v>
      </c>
      <c r="AG161" s="31">
        <f>ROUND(W160*AG$5/1200,2)</f>
        <v>0.0</v>
      </c>
      <c r="AH161" s="31">
        <f>ROUND(X160*AH$5/1200,2)</f>
        <v>0.0</v>
      </c>
      <c r="AI161" s="31">
        <f>ROUND(Y160*AI$5/1200,2)</f>
        <v>0.0</v>
      </c>
      <c r="AJ161" s="31">
        <f>ROUND(Z160*AJ$5/1200,2)</f>
        <v>0.0</v>
      </c>
      <c r="AK161" s="31">
        <f>ROUND(AA160*AK$5/1200,2)</f>
        <v>0.0</v>
      </c>
      <c r="AL161" s="31">
        <f>MIN(AL$5,R160+AB161)</f>
        <v>0.0</v>
      </c>
      <c r="AM161" s="31">
        <f>MIN(AM$5,S160+AC161)</f>
        <v>0.0</v>
      </c>
      <c r="AN161" s="31">
        <f>MIN(AN$5,T160+AD161)</f>
        <v>0.0</v>
      </c>
      <c r="AO161" s="31">
        <f>MIN(AO$5,U160+AE161)</f>
        <v>0.0</v>
      </c>
      <c r="AP161" s="31">
        <f>MIN(AP$5,V160+AF161)</f>
        <v>0.0</v>
      </c>
      <c r="AQ161" s="31">
        <f>MIN(AQ$5,W160+AG161)</f>
        <v>0.0</v>
      </c>
      <c r="AR161" s="31">
        <f>MIN(AR$5,X160+AH161)</f>
        <v>0.0</v>
      </c>
      <c r="AS161" s="31">
        <f>MIN(AS$5,Y160+AI161)</f>
        <v>0.0</v>
      </c>
      <c r="AT161" s="31">
        <f>MIN(AT$5,Z160+AJ161)</f>
        <v>0.0</v>
      </c>
      <c r="AU161" s="31">
        <f>MIN(AU$5,AA160+AK161)</f>
        <v>0.0</v>
      </c>
    </row>
    <row r="162">
      <c r="A162" s="25" t="str">
        <f>IF(F161&gt;0.005,157,"")</f>
        <v/>
      </c>
      <c r="B162" s="33" t="str">
        <f>IF(A162="","",EDATE(Долги!$D$5,156))</f>
        <v/>
      </c>
      <c r="C162" s="31">
        <f>SUM(H162:Q162)</f>
        <v>0.0</v>
      </c>
      <c r="D162" s="31">
        <f>SUM(AB162:AK162)</f>
        <v>0.0</v>
      </c>
      <c r="E162" s="31">
        <f>C162-D162</f>
        <v>0.0</v>
      </c>
      <c r="F162" s="31">
        <f>SUM(R162:AA162)</f>
        <v>0.0</v>
      </c>
      <c r="G162" s="34" t="str">
        <f>IF(OR(A162="",$F$5&lt;=0),"",REPT("█",ROUND(20*F162/$F$5,0)))</f>
        <v/>
      </c>
      <c r="H162" s="31">
        <f>AL162+MIN(R161+AB162-AL162,MAX(0,ROUND(Долги!$D$19-SUM($AL162:$AU162),2)))</f>
        <v>0.0</v>
      </c>
      <c r="I162" s="31">
        <f>AM162+MIN(S161+AC162-AM162,MAX(0,ROUND(ROUND(Долги!$D$19-SUM($AL162:$AU162),2)-(SUM($H162:H162)-SUM($AL162:AL162)),2)))</f>
        <v>0.0</v>
      </c>
      <c r="J162" s="31">
        <f>AN162+MIN(T161+AD162-AN162,MAX(0,ROUND(ROUND(Долги!$D$19-SUM($AL162:$AU162),2)-(SUM($H162:I162)-SUM($AL162:AM162)),2)))</f>
        <v>0.0</v>
      </c>
      <c r="K162" s="31">
        <f>AO162+MIN(U161+AE162-AO162,MAX(0,ROUND(ROUND(Долги!$D$19-SUM($AL162:$AU162),2)-(SUM($H162:J162)-SUM($AL162:AN162)),2)))</f>
        <v>0.0</v>
      </c>
      <c r="L162" s="31">
        <f>AP162+MIN(V161+AF162-AP162,MAX(0,ROUND(ROUND(Долги!$D$19-SUM($AL162:$AU162),2)-(SUM($H162:K162)-SUM($AL162:AO162)),2)))</f>
        <v>0.0</v>
      </c>
      <c r="M162" s="31">
        <f>AQ162+MIN(W161+AG162-AQ162,MAX(0,ROUND(ROUND(Долги!$D$19-SUM($AL162:$AU162),2)-(SUM($H162:L162)-SUM($AL162:AP162)),2)))</f>
        <v>0.0</v>
      </c>
      <c r="N162" s="31">
        <f>AR162+MIN(X161+AH162-AR162,MAX(0,ROUND(ROUND(Долги!$D$19-SUM($AL162:$AU162),2)-(SUM($H162:M162)-SUM($AL162:AQ162)),2)))</f>
        <v>0.0</v>
      </c>
      <c r="O162" s="31">
        <f>AS162+MIN(Y161+AI162-AS162,MAX(0,ROUND(ROUND(Долги!$D$19-SUM($AL162:$AU162),2)-(SUM($H162:N162)-SUM($AL162:AR162)),2)))</f>
        <v>0.0</v>
      </c>
      <c r="P162" s="31">
        <f>AT162+MIN(Z161+AJ162-AT162,MAX(0,ROUND(ROUND(Долги!$D$19-SUM($AL162:$AU162),2)-(SUM($H162:O162)-SUM($AL162:AS162)),2)))</f>
        <v>0.0</v>
      </c>
      <c r="Q162" s="31">
        <f>AU162+MIN(AA161+AK162-AU162,MAX(0,ROUND(ROUND(Долги!$D$19-SUM($AL162:$AU162),2)-(SUM($H162:P162)-SUM($AL162:AT162)),2)))</f>
        <v>0.0</v>
      </c>
      <c r="R162" s="31">
        <f>IF(R161+AB162-H162&lt;=0.01,0,ROUND(R161+AB162-H162,2))</f>
        <v>0.0</v>
      </c>
      <c r="S162" s="31">
        <f>IF(S161+AC162-I162&lt;=0.01,0,ROUND(S161+AC162-I162,2))</f>
        <v>0.0</v>
      </c>
      <c r="T162" s="31">
        <f>IF(T161+AD162-J162&lt;=0.01,0,ROUND(T161+AD162-J162,2))</f>
        <v>0.0</v>
      </c>
      <c r="U162" s="31">
        <f>IF(U161+AE162-K162&lt;=0.01,0,ROUND(U161+AE162-K162,2))</f>
        <v>0.0</v>
      </c>
      <c r="V162" s="31">
        <f>IF(V161+AF162-L162&lt;=0.01,0,ROUND(V161+AF162-L162,2))</f>
        <v>0.0</v>
      </c>
      <c r="W162" s="31">
        <f>IF(W161+AG162-M162&lt;=0.01,0,ROUND(W161+AG162-M162,2))</f>
        <v>0.0</v>
      </c>
      <c r="X162" s="31">
        <f>IF(X161+AH162-N162&lt;=0.01,0,ROUND(X161+AH162-N162,2))</f>
        <v>0.0</v>
      </c>
      <c r="Y162" s="31">
        <f>IF(Y161+AI162-O162&lt;=0.01,0,ROUND(Y161+AI162-O162,2))</f>
        <v>0.0</v>
      </c>
      <c r="Z162" s="31">
        <f>IF(Z161+AJ162-P162&lt;=0.01,0,ROUND(Z161+AJ162-P162,2))</f>
        <v>0.0</v>
      </c>
      <c r="AA162" s="31">
        <f>IF(AA161+AK162-Q162&lt;=0.01,0,ROUND(AA161+AK162-Q162,2))</f>
        <v>0.0</v>
      </c>
      <c r="AB162" s="31">
        <f>ROUND(R161*AB$5/1200,2)</f>
        <v>0.0</v>
      </c>
      <c r="AC162" s="31">
        <f>ROUND(S161*AC$5/1200,2)</f>
        <v>0.0</v>
      </c>
      <c r="AD162" s="31">
        <f>ROUND(T161*AD$5/1200,2)</f>
        <v>0.0</v>
      </c>
      <c r="AE162" s="31">
        <f>ROUND(U161*AE$5/1200,2)</f>
        <v>0.0</v>
      </c>
      <c r="AF162" s="31">
        <f>ROUND(V161*AF$5/1200,2)</f>
        <v>0.0</v>
      </c>
      <c r="AG162" s="31">
        <f>ROUND(W161*AG$5/1200,2)</f>
        <v>0.0</v>
      </c>
      <c r="AH162" s="31">
        <f>ROUND(X161*AH$5/1200,2)</f>
        <v>0.0</v>
      </c>
      <c r="AI162" s="31">
        <f>ROUND(Y161*AI$5/1200,2)</f>
        <v>0.0</v>
      </c>
      <c r="AJ162" s="31">
        <f>ROUND(Z161*AJ$5/1200,2)</f>
        <v>0.0</v>
      </c>
      <c r="AK162" s="31">
        <f>ROUND(AA161*AK$5/1200,2)</f>
        <v>0.0</v>
      </c>
      <c r="AL162" s="31">
        <f>MIN(AL$5,R161+AB162)</f>
        <v>0.0</v>
      </c>
      <c r="AM162" s="31">
        <f>MIN(AM$5,S161+AC162)</f>
        <v>0.0</v>
      </c>
      <c r="AN162" s="31">
        <f>MIN(AN$5,T161+AD162)</f>
        <v>0.0</v>
      </c>
      <c r="AO162" s="31">
        <f>MIN(AO$5,U161+AE162)</f>
        <v>0.0</v>
      </c>
      <c r="AP162" s="31">
        <f>MIN(AP$5,V161+AF162)</f>
        <v>0.0</v>
      </c>
      <c r="AQ162" s="31">
        <f>MIN(AQ$5,W161+AG162)</f>
        <v>0.0</v>
      </c>
      <c r="AR162" s="31">
        <f>MIN(AR$5,X161+AH162)</f>
        <v>0.0</v>
      </c>
      <c r="AS162" s="31">
        <f>MIN(AS$5,Y161+AI162)</f>
        <v>0.0</v>
      </c>
      <c r="AT162" s="31">
        <f>MIN(AT$5,Z161+AJ162)</f>
        <v>0.0</v>
      </c>
      <c r="AU162" s="31">
        <f>MIN(AU$5,AA161+AK162)</f>
        <v>0.0</v>
      </c>
    </row>
    <row r="163">
      <c r="A163" s="25" t="str">
        <f>IF(F162&gt;0.005,158,"")</f>
        <v/>
      </c>
      <c r="B163" s="33" t="str">
        <f>IF(A163="","",EDATE(Долги!$D$5,157))</f>
        <v/>
      </c>
      <c r="C163" s="31">
        <f>SUM(H163:Q163)</f>
        <v>0.0</v>
      </c>
      <c r="D163" s="31">
        <f>SUM(AB163:AK163)</f>
        <v>0.0</v>
      </c>
      <c r="E163" s="31">
        <f>C163-D163</f>
        <v>0.0</v>
      </c>
      <c r="F163" s="31">
        <f>SUM(R163:AA163)</f>
        <v>0.0</v>
      </c>
      <c r="G163" s="34" t="str">
        <f>IF(OR(A163="",$F$5&lt;=0),"",REPT("█",ROUND(20*F163/$F$5,0)))</f>
        <v/>
      </c>
      <c r="H163" s="31">
        <f>AL163+MIN(R162+AB163-AL163,MAX(0,ROUND(Долги!$D$19-SUM($AL163:$AU163),2)))</f>
        <v>0.0</v>
      </c>
      <c r="I163" s="31">
        <f>AM163+MIN(S162+AC163-AM163,MAX(0,ROUND(ROUND(Долги!$D$19-SUM($AL163:$AU163),2)-(SUM($H163:H163)-SUM($AL163:AL163)),2)))</f>
        <v>0.0</v>
      </c>
      <c r="J163" s="31">
        <f>AN163+MIN(T162+AD163-AN163,MAX(0,ROUND(ROUND(Долги!$D$19-SUM($AL163:$AU163),2)-(SUM($H163:I163)-SUM($AL163:AM163)),2)))</f>
        <v>0.0</v>
      </c>
      <c r="K163" s="31">
        <f>AO163+MIN(U162+AE163-AO163,MAX(0,ROUND(ROUND(Долги!$D$19-SUM($AL163:$AU163),2)-(SUM($H163:J163)-SUM($AL163:AN163)),2)))</f>
        <v>0.0</v>
      </c>
      <c r="L163" s="31">
        <f>AP163+MIN(V162+AF163-AP163,MAX(0,ROUND(ROUND(Долги!$D$19-SUM($AL163:$AU163),2)-(SUM($H163:K163)-SUM($AL163:AO163)),2)))</f>
        <v>0.0</v>
      </c>
      <c r="M163" s="31">
        <f>AQ163+MIN(W162+AG163-AQ163,MAX(0,ROUND(ROUND(Долги!$D$19-SUM($AL163:$AU163),2)-(SUM($H163:L163)-SUM($AL163:AP163)),2)))</f>
        <v>0.0</v>
      </c>
      <c r="N163" s="31">
        <f>AR163+MIN(X162+AH163-AR163,MAX(0,ROUND(ROUND(Долги!$D$19-SUM($AL163:$AU163),2)-(SUM($H163:M163)-SUM($AL163:AQ163)),2)))</f>
        <v>0.0</v>
      </c>
      <c r="O163" s="31">
        <f>AS163+MIN(Y162+AI163-AS163,MAX(0,ROUND(ROUND(Долги!$D$19-SUM($AL163:$AU163),2)-(SUM($H163:N163)-SUM($AL163:AR163)),2)))</f>
        <v>0.0</v>
      </c>
      <c r="P163" s="31">
        <f>AT163+MIN(Z162+AJ163-AT163,MAX(0,ROUND(ROUND(Долги!$D$19-SUM($AL163:$AU163),2)-(SUM($H163:O163)-SUM($AL163:AS163)),2)))</f>
        <v>0.0</v>
      </c>
      <c r="Q163" s="31">
        <f>AU163+MIN(AA162+AK163-AU163,MAX(0,ROUND(ROUND(Долги!$D$19-SUM($AL163:$AU163),2)-(SUM($H163:P163)-SUM($AL163:AT163)),2)))</f>
        <v>0.0</v>
      </c>
      <c r="R163" s="31">
        <f>IF(R162+AB163-H163&lt;=0.01,0,ROUND(R162+AB163-H163,2))</f>
        <v>0.0</v>
      </c>
      <c r="S163" s="31">
        <f>IF(S162+AC163-I163&lt;=0.01,0,ROUND(S162+AC163-I163,2))</f>
        <v>0.0</v>
      </c>
      <c r="T163" s="31">
        <f>IF(T162+AD163-J163&lt;=0.01,0,ROUND(T162+AD163-J163,2))</f>
        <v>0.0</v>
      </c>
      <c r="U163" s="31">
        <f>IF(U162+AE163-K163&lt;=0.01,0,ROUND(U162+AE163-K163,2))</f>
        <v>0.0</v>
      </c>
      <c r="V163" s="31">
        <f>IF(V162+AF163-L163&lt;=0.01,0,ROUND(V162+AF163-L163,2))</f>
        <v>0.0</v>
      </c>
      <c r="W163" s="31">
        <f>IF(W162+AG163-M163&lt;=0.01,0,ROUND(W162+AG163-M163,2))</f>
        <v>0.0</v>
      </c>
      <c r="X163" s="31">
        <f>IF(X162+AH163-N163&lt;=0.01,0,ROUND(X162+AH163-N163,2))</f>
        <v>0.0</v>
      </c>
      <c r="Y163" s="31">
        <f>IF(Y162+AI163-O163&lt;=0.01,0,ROUND(Y162+AI163-O163,2))</f>
        <v>0.0</v>
      </c>
      <c r="Z163" s="31">
        <f>IF(Z162+AJ163-P163&lt;=0.01,0,ROUND(Z162+AJ163-P163,2))</f>
        <v>0.0</v>
      </c>
      <c r="AA163" s="31">
        <f>IF(AA162+AK163-Q163&lt;=0.01,0,ROUND(AA162+AK163-Q163,2))</f>
        <v>0.0</v>
      </c>
      <c r="AB163" s="31">
        <f>ROUND(R162*AB$5/1200,2)</f>
        <v>0.0</v>
      </c>
      <c r="AC163" s="31">
        <f>ROUND(S162*AC$5/1200,2)</f>
        <v>0.0</v>
      </c>
      <c r="AD163" s="31">
        <f>ROUND(T162*AD$5/1200,2)</f>
        <v>0.0</v>
      </c>
      <c r="AE163" s="31">
        <f>ROUND(U162*AE$5/1200,2)</f>
        <v>0.0</v>
      </c>
      <c r="AF163" s="31">
        <f>ROUND(V162*AF$5/1200,2)</f>
        <v>0.0</v>
      </c>
      <c r="AG163" s="31">
        <f>ROUND(W162*AG$5/1200,2)</f>
        <v>0.0</v>
      </c>
      <c r="AH163" s="31">
        <f>ROUND(X162*AH$5/1200,2)</f>
        <v>0.0</v>
      </c>
      <c r="AI163" s="31">
        <f>ROUND(Y162*AI$5/1200,2)</f>
        <v>0.0</v>
      </c>
      <c r="AJ163" s="31">
        <f>ROUND(Z162*AJ$5/1200,2)</f>
        <v>0.0</v>
      </c>
      <c r="AK163" s="31">
        <f>ROUND(AA162*AK$5/1200,2)</f>
        <v>0.0</v>
      </c>
      <c r="AL163" s="31">
        <f>MIN(AL$5,R162+AB163)</f>
        <v>0.0</v>
      </c>
      <c r="AM163" s="31">
        <f>MIN(AM$5,S162+AC163)</f>
        <v>0.0</v>
      </c>
      <c r="AN163" s="31">
        <f>MIN(AN$5,T162+AD163)</f>
        <v>0.0</v>
      </c>
      <c r="AO163" s="31">
        <f>MIN(AO$5,U162+AE163)</f>
        <v>0.0</v>
      </c>
      <c r="AP163" s="31">
        <f>MIN(AP$5,V162+AF163)</f>
        <v>0.0</v>
      </c>
      <c r="AQ163" s="31">
        <f>MIN(AQ$5,W162+AG163)</f>
        <v>0.0</v>
      </c>
      <c r="AR163" s="31">
        <f>MIN(AR$5,X162+AH163)</f>
        <v>0.0</v>
      </c>
      <c r="AS163" s="31">
        <f>MIN(AS$5,Y162+AI163)</f>
        <v>0.0</v>
      </c>
      <c r="AT163" s="31">
        <f>MIN(AT$5,Z162+AJ163)</f>
        <v>0.0</v>
      </c>
      <c r="AU163" s="31">
        <f>MIN(AU$5,AA162+AK163)</f>
        <v>0.0</v>
      </c>
    </row>
    <row r="164">
      <c r="A164" s="25" t="str">
        <f>IF(F163&gt;0.005,159,"")</f>
        <v/>
      </c>
      <c r="B164" s="33" t="str">
        <f>IF(A164="","",EDATE(Долги!$D$5,158))</f>
        <v/>
      </c>
      <c r="C164" s="31">
        <f>SUM(H164:Q164)</f>
        <v>0.0</v>
      </c>
      <c r="D164" s="31">
        <f>SUM(AB164:AK164)</f>
        <v>0.0</v>
      </c>
      <c r="E164" s="31">
        <f>C164-D164</f>
        <v>0.0</v>
      </c>
      <c r="F164" s="31">
        <f>SUM(R164:AA164)</f>
        <v>0.0</v>
      </c>
      <c r="G164" s="34" t="str">
        <f>IF(OR(A164="",$F$5&lt;=0),"",REPT("█",ROUND(20*F164/$F$5,0)))</f>
        <v/>
      </c>
      <c r="H164" s="31">
        <f>AL164+MIN(R163+AB164-AL164,MAX(0,ROUND(Долги!$D$19-SUM($AL164:$AU164),2)))</f>
        <v>0.0</v>
      </c>
      <c r="I164" s="31">
        <f>AM164+MIN(S163+AC164-AM164,MAX(0,ROUND(ROUND(Долги!$D$19-SUM($AL164:$AU164),2)-(SUM($H164:H164)-SUM($AL164:AL164)),2)))</f>
        <v>0.0</v>
      </c>
      <c r="J164" s="31">
        <f>AN164+MIN(T163+AD164-AN164,MAX(0,ROUND(ROUND(Долги!$D$19-SUM($AL164:$AU164),2)-(SUM($H164:I164)-SUM($AL164:AM164)),2)))</f>
        <v>0.0</v>
      </c>
      <c r="K164" s="31">
        <f>AO164+MIN(U163+AE164-AO164,MAX(0,ROUND(ROUND(Долги!$D$19-SUM($AL164:$AU164),2)-(SUM($H164:J164)-SUM($AL164:AN164)),2)))</f>
        <v>0.0</v>
      </c>
      <c r="L164" s="31">
        <f>AP164+MIN(V163+AF164-AP164,MAX(0,ROUND(ROUND(Долги!$D$19-SUM($AL164:$AU164),2)-(SUM($H164:K164)-SUM($AL164:AO164)),2)))</f>
        <v>0.0</v>
      </c>
      <c r="M164" s="31">
        <f>AQ164+MIN(W163+AG164-AQ164,MAX(0,ROUND(ROUND(Долги!$D$19-SUM($AL164:$AU164),2)-(SUM($H164:L164)-SUM($AL164:AP164)),2)))</f>
        <v>0.0</v>
      </c>
      <c r="N164" s="31">
        <f>AR164+MIN(X163+AH164-AR164,MAX(0,ROUND(ROUND(Долги!$D$19-SUM($AL164:$AU164),2)-(SUM($H164:M164)-SUM($AL164:AQ164)),2)))</f>
        <v>0.0</v>
      </c>
      <c r="O164" s="31">
        <f>AS164+MIN(Y163+AI164-AS164,MAX(0,ROUND(ROUND(Долги!$D$19-SUM($AL164:$AU164),2)-(SUM($H164:N164)-SUM($AL164:AR164)),2)))</f>
        <v>0.0</v>
      </c>
      <c r="P164" s="31">
        <f>AT164+MIN(Z163+AJ164-AT164,MAX(0,ROUND(ROUND(Долги!$D$19-SUM($AL164:$AU164),2)-(SUM($H164:O164)-SUM($AL164:AS164)),2)))</f>
        <v>0.0</v>
      </c>
      <c r="Q164" s="31">
        <f>AU164+MIN(AA163+AK164-AU164,MAX(0,ROUND(ROUND(Долги!$D$19-SUM($AL164:$AU164),2)-(SUM($H164:P164)-SUM($AL164:AT164)),2)))</f>
        <v>0.0</v>
      </c>
      <c r="R164" s="31">
        <f>IF(R163+AB164-H164&lt;=0.01,0,ROUND(R163+AB164-H164,2))</f>
        <v>0.0</v>
      </c>
      <c r="S164" s="31">
        <f>IF(S163+AC164-I164&lt;=0.01,0,ROUND(S163+AC164-I164,2))</f>
        <v>0.0</v>
      </c>
      <c r="T164" s="31">
        <f>IF(T163+AD164-J164&lt;=0.01,0,ROUND(T163+AD164-J164,2))</f>
        <v>0.0</v>
      </c>
      <c r="U164" s="31">
        <f>IF(U163+AE164-K164&lt;=0.01,0,ROUND(U163+AE164-K164,2))</f>
        <v>0.0</v>
      </c>
      <c r="V164" s="31">
        <f>IF(V163+AF164-L164&lt;=0.01,0,ROUND(V163+AF164-L164,2))</f>
        <v>0.0</v>
      </c>
      <c r="W164" s="31">
        <f>IF(W163+AG164-M164&lt;=0.01,0,ROUND(W163+AG164-M164,2))</f>
        <v>0.0</v>
      </c>
      <c r="X164" s="31">
        <f>IF(X163+AH164-N164&lt;=0.01,0,ROUND(X163+AH164-N164,2))</f>
        <v>0.0</v>
      </c>
      <c r="Y164" s="31">
        <f>IF(Y163+AI164-O164&lt;=0.01,0,ROUND(Y163+AI164-O164,2))</f>
        <v>0.0</v>
      </c>
      <c r="Z164" s="31">
        <f>IF(Z163+AJ164-P164&lt;=0.01,0,ROUND(Z163+AJ164-P164,2))</f>
        <v>0.0</v>
      </c>
      <c r="AA164" s="31">
        <f>IF(AA163+AK164-Q164&lt;=0.01,0,ROUND(AA163+AK164-Q164,2))</f>
        <v>0.0</v>
      </c>
      <c r="AB164" s="31">
        <f>ROUND(R163*AB$5/1200,2)</f>
        <v>0.0</v>
      </c>
      <c r="AC164" s="31">
        <f>ROUND(S163*AC$5/1200,2)</f>
        <v>0.0</v>
      </c>
      <c r="AD164" s="31">
        <f>ROUND(T163*AD$5/1200,2)</f>
        <v>0.0</v>
      </c>
      <c r="AE164" s="31">
        <f>ROUND(U163*AE$5/1200,2)</f>
        <v>0.0</v>
      </c>
      <c r="AF164" s="31">
        <f>ROUND(V163*AF$5/1200,2)</f>
        <v>0.0</v>
      </c>
      <c r="AG164" s="31">
        <f>ROUND(W163*AG$5/1200,2)</f>
        <v>0.0</v>
      </c>
      <c r="AH164" s="31">
        <f>ROUND(X163*AH$5/1200,2)</f>
        <v>0.0</v>
      </c>
      <c r="AI164" s="31">
        <f>ROUND(Y163*AI$5/1200,2)</f>
        <v>0.0</v>
      </c>
      <c r="AJ164" s="31">
        <f>ROUND(Z163*AJ$5/1200,2)</f>
        <v>0.0</v>
      </c>
      <c r="AK164" s="31">
        <f>ROUND(AA163*AK$5/1200,2)</f>
        <v>0.0</v>
      </c>
      <c r="AL164" s="31">
        <f>MIN(AL$5,R163+AB164)</f>
        <v>0.0</v>
      </c>
      <c r="AM164" s="31">
        <f>MIN(AM$5,S163+AC164)</f>
        <v>0.0</v>
      </c>
      <c r="AN164" s="31">
        <f>MIN(AN$5,T163+AD164)</f>
        <v>0.0</v>
      </c>
      <c r="AO164" s="31">
        <f>MIN(AO$5,U163+AE164)</f>
        <v>0.0</v>
      </c>
      <c r="AP164" s="31">
        <f>MIN(AP$5,V163+AF164)</f>
        <v>0.0</v>
      </c>
      <c r="AQ164" s="31">
        <f>MIN(AQ$5,W163+AG164)</f>
        <v>0.0</v>
      </c>
      <c r="AR164" s="31">
        <f>MIN(AR$5,X163+AH164)</f>
        <v>0.0</v>
      </c>
      <c r="AS164" s="31">
        <f>MIN(AS$5,Y163+AI164)</f>
        <v>0.0</v>
      </c>
      <c r="AT164" s="31">
        <f>MIN(AT$5,Z163+AJ164)</f>
        <v>0.0</v>
      </c>
      <c r="AU164" s="31">
        <f>MIN(AU$5,AA163+AK164)</f>
        <v>0.0</v>
      </c>
    </row>
    <row r="165">
      <c r="A165" s="25" t="str">
        <f>IF(F164&gt;0.005,160,"")</f>
        <v/>
      </c>
      <c r="B165" s="33" t="str">
        <f>IF(A165="","",EDATE(Долги!$D$5,159))</f>
        <v/>
      </c>
      <c r="C165" s="31">
        <f>SUM(H165:Q165)</f>
        <v>0.0</v>
      </c>
      <c r="D165" s="31">
        <f>SUM(AB165:AK165)</f>
        <v>0.0</v>
      </c>
      <c r="E165" s="31">
        <f>C165-D165</f>
        <v>0.0</v>
      </c>
      <c r="F165" s="31">
        <f>SUM(R165:AA165)</f>
        <v>0.0</v>
      </c>
      <c r="G165" s="34" t="str">
        <f>IF(OR(A165="",$F$5&lt;=0),"",REPT("█",ROUND(20*F165/$F$5,0)))</f>
        <v/>
      </c>
      <c r="H165" s="31">
        <f>AL165+MIN(R164+AB165-AL165,MAX(0,ROUND(Долги!$D$19-SUM($AL165:$AU165),2)))</f>
        <v>0.0</v>
      </c>
      <c r="I165" s="31">
        <f>AM165+MIN(S164+AC165-AM165,MAX(0,ROUND(ROUND(Долги!$D$19-SUM($AL165:$AU165),2)-(SUM($H165:H165)-SUM($AL165:AL165)),2)))</f>
        <v>0.0</v>
      </c>
      <c r="J165" s="31">
        <f>AN165+MIN(T164+AD165-AN165,MAX(0,ROUND(ROUND(Долги!$D$19-SUM($AL165:$AU165),2)-(SUM($H165:I165)-SUM($AL165:AM165)),2)))</f>
        <v>0.0</v>
      </c>
      <c r="K165" s="31">
        <f>AO165+MIN(U164+AE165-AO165,MAX(0,ROUND(ROUND(Долги!$D$19-SUM($AL165:$AU165),2)-(SUM($H165:J165)-SUM($AL165:AN165)),2)))</f>
        <v>0.0</v>
      </c>
      <c r="L165" s="31">
        <f>AP165+MIN(V164+AF165-AP165,MAX(0,ROUND(ROUND(Долги!$D$19-SUM($AL165:$AU165),2)-(SUM($H165:K165)-SUM($AL165:AO165)),2)))</f>
        <v>0.0</v>
      </c>
      <c r="M165" s="31">
        <f>AQ165+MIN(W164+AG165-AQ165,MAX(0,ROUND(ROUND(Долги!$D$19-SUM($AL165:$AU165),2)-(SUM($H165:L165)-SUM($AL165:AP165)),2)))</f>
        <v>0.0</v>
      </c>
      <c r="N165" s="31">
        <f>AR165+MIN(X164+AH165-AR165,MAX(0,ROUND(ROUND(Долги!$D$19-SUM($AL165:$AU165),2)-(SUM($H165:M165)-SUM($AL165:AQ165)),2)))</f>
        <v>0.0</v>
      </c>
      <c r="O165" s="31">
        <f>AS165+MIN(Y164+AI165-AS165,MAX(0,ROUND(ROUND(Долги!$D$19-SUM($AL165:$AU165),2)-(SUM($H165:N165)-SUM($AL165:AR165)),2)))</f>
        <v>0.0</v>
      </c>
      <c r="P165" s="31">
        <f>AT165+MIN(Z164+AJ165-AT165,MAX(0,ROUND(ROUND(Долги!$D$19-SUM($AL165:$AU165),2)-(SUM($H165:O165)-SUM($AL165:AS165)),2)))</f>
        <v>0.0</v>
      </c>
      <c r="Q165" s="31">
        <f>AU165+MIN(AA164+AK165-AU165,MAX(0,ROUND(ROUND(Долги!$D$19-SUM($AL165:$AU165),2)-(SUM($H165:P165)-SUM($AL165:AT165)),2)))</f>
        <v>0.0</v>
      </c>
      <c r="R165" s="31">
        <f>IF(R164+AB165-H165&lt;=0.01,0,ROUND(R164+AB165-H165,2))</f>
        <v>0.0</v>
      </c>
      <c r="S165" s="31">
        <f>IF(S164+AC165-I165&lt;=0.01,0,ROUND(S164+AC165-I165,2))</f>
        <v>0.0</v>
      </c>
      <c r="T165" s="31">
        <f>IF(T164+AD165-J165&lt;=0.01,0,ROUND(T164+AD165-J165,2))</f>
        <v>0.0</v>
      </c>
      <c r="U165" s="31">
        <f>IF(U164+AE165-K165&lt;=0.01,0,ROUND(U164+AE165-K165,2))</f>
        <v>0.0</v>
      </c>
      <c r="V165" s="31">
        <f>IF(V164+AF165-L165&lt;=0.01,0,ROUND(V164+AF165-L165,2))</f>
        <v>0.0</v>
      </c>
      <c r="W165" s="31">
        <f>IF(W164+AG165-M165&lt;=0.01,0,ROUND(W164+AG165-M165,2))</f>
        <v>0.0</v>
      </c>
      <c r="X165" s="31">
        <f>IF(X164+AH165-N165&lt;=0.01,0,ROUND(X164+AH165-N165,2))</f>
        <v>0.0</v>
      </c>
      <c r="Y165" s="31">
        <f>IF(Y164+AI165-O165&lt;=0.01,0,ROUND(Y164+AI165-O165,2))</f>
        <v>0.0</v>
      </c>
      <c r="Z165" s="31">
        <f>IF(Z164+AJ165-P165&lt;=0.01,0,ROUND(Z164+AJ165-P165,2))</f>
        <v>0.0</v>
      </c>
      <c r="AA165" s="31">
        <f>IF(AA164+AK165-Q165&lt;=0.01,0,ROUND(AA164+AK165-Q165,2))</f>
        <v>0.0</v>
      </c>
      <c r="AB165" s="31">
        <f>ROUND(R164*AB$5/1200,2)</f>
        <v>0.0</v>
      </c>
      <c r="AC165" s="31">
        <f>ROUND(S164*AC$5/1200,2)</f>
        <v>0.0</v>
      </c>
      <c r="AD165" s="31">
        <f>ROUND(T164*AD$5/1200,2)</f>
        <v>0.0</v>
      </c>
      <c r="AE165" s="31">
        <f>ROUND(U164*AE$5/1200,2)</f>
        <v>0.0</v>
      </c>
      <c r="AF165" s="31">
        <f>ROUND(V164*AF$5/1200,2)</f>
        <v>0.0</v>
      </c>
      <c r="AG165" s="31">
        <f>ROUND(W164*AG$5/1200,2)</f>
        <v>0.0</v>
      </c>
      <c r="AH165" s="31">
        <f>ROUND(X164*AH$5/1200,2)</f>
        <v>0.0</v>
      </c>
      <c r="AI165" s="31">
        <f>ROUND(Y164*AI$5/1200,2)</f>
        <v>0.0</v>
      </c>
      <c r="AJ165" s="31">
        <f>ROUND(Z164*AJ$5/1200,2)</f>
        <v>0.0</v>
      </c>
      <c r="AK165" s="31">
        <f>ROUND(AA164*AK$5/1200,2)</f>
        <v>0.0</v>
      </c>
      <c r="AL165" s="31">
        <f>MIN(AL$5,R164+AB165)</f>
        <v>0.0</v>
      </c>
      <c r="AM165" s="31">
        <f>MIN(AM$5,S164+AC165)</f>
        <v>0.0</v>
      </c>
      <c r="AN165" s="31">
        <f>MIN(AN$5,T164+AD165)</f>
        <v>0.0</v>
      </c>
      <c r="AO165" s="31">
        <f>MIN(AO$5,U164+AE165)</f>
        <v>0.0</v>
      </c>
      <c r="AP165" s="31">
        <f>MIN(AP$5,V164+AF165)</f>
        <v>0.0</v>
      </c>
      <c r="AQ165" s="31">
        <f>MIN(AQ$5,W164+AG165)</f>
        <v>0.0</v>
      </c>
      <c r="AR165" s="31">
        <f>MIN(AR$5,X164+AH165)</f>
        <v>0.0</v>
      </c>
      <c r="AS165" s="31">
        <f>MIN(AS$5,Y164+AI165)</f>
        <v>0.0</v>
      </c>
      <c r="AT165" s="31">
        <f>MIN(AT$5,Z164+AJ165)</f>
        <v>0.0</v>
      </c>
      <c r="AU165" s="31">
        <f>MIN(AU$5,AA164+AK165)</f>
        <v>0.0</v>
      </c>
    </row>
    <row r="166">
      <c r="A166" s="25" t="str">
        <f>IF(F165&gt;0.005,161,"")</f>
        <v/>
      </c>
      <c r="B166" s="33" t="str">
        <f>IF(A166="","",EDATE(Долги!$D$5,160))</f>
        <v/>
      </c>
      <c r="C166" s="31">
        <f>SUM(H166:Q166)</f>
        <v>0.0</v>
      </c>
      <c r="D166" s="31">
        <f>SUM(AB166:AK166)</f>
        <v>0.0</v>
      </c>
      <c r="E166" s="31">
        <f>C166-D166</f>
        <v>0.0</v>
      </c>
      <c r="F166" s="31">
        <f>SUM(R166:AA166)</f>
        <v>0.0</v>
      </c>
      <c r="G166" s="34" t="str">
        <f>IF(OR(A166="",$F$5&lt;=0),"",REPT("█",ROUND(20*F166/$F$5,0)))</f>
        <v/>
      </c>
      <c r="H166" s="31">
        <f>AL166+MIN(R165+AB166-AL166,MAX(0,ROUND(Долги!$D$19-SUM($AL166:$AU166),2)))</f>
        <v>0.0</v>
      </c>
      <c r="I166" s="31">
        <f>AM166+MIN(S165+AC166-AM166,MAX(0,ROUND(ROUND(Долги!$D$19-SUM($AL166:$AU166),2)-(SUM($H166:H166)-SUM($AL166:AL166)),2)))</f>
        <v>0.0</v>
      </c>
      <c r="J166" s="31">
        <f>AN166+MIN(T165+AD166-AN166,MAX(0,ROUND(ROUND(Долги!$D$19-SUM($AL166:$AU166),2)-(SUM($H166:I166)-SUM($AL166:AM166)),2)))</f>
        <v>0.0</v>
      </c>
      <c r="K166" s="31">
        <f>AO166+MIN(U165+AE166-AO166,MAX(0,ROUND(ROUND(Долги!$D$19-SUM($AL166:$AU166),2)-(SUM($H166:J166)-SUM($AL166:AN166)),2)))</f>
        <v>0.0</v>
      </c>
      <c r="L166" s="31">
        <f>AP166+MIN(V165+AF166-AP166,MAX(0,ROUND(ROUND(Долги!$D$19-SUM($AL166:$AU166),2)-(SUM($H166:K166)-SUM($AL166:AO166)),2)))</f>
        <v>0.0</v>
      </c>
      <c r="M166" s="31">
        <f>AQ166+MIN(W165+AG166-AQ166,MAX(0,ROUND(ROUND(Долги!$D$19-SUM($AL166:$AU166),2)-(SUM($H166:L166)-SUM($AL166:AP166)),2)))</f>
        <v>0.0</v>
      </c>
      <c r="N166" s="31">
        <f>AR166+MIN(X165+AH166-AR166,MAX(0,ROUND(ROUND(Долги!$D$19-SUM($AL166:$AU166),2)-(SUM($H166:M166)-SUM($AL166:AQ166)),2)))</f>
        <v>0.0</v>
      </c>
      <c r="O166" s="31">
        <f>AS166+MIN(Y165+AI166-AS166,MAX(0,ROUND(ROUND(Долги!$D$19-SUM($AL166:$AU166),2)-(SUM($H166:N166)-SUM($AL166:AR166)),2)))</f>
        <v>0.0</v>
      </c>
      <c r="P166" s="31">
        <f>AT166+MIN(Z165+AJ166-AT166,MAX(0,ROUND(ROUND(Долги!$D$19-SUM($AL166:$AU166),2)-(SUM($H166:O166)-SUM($AL166:AS166)),2)))</f>
        <v>0.0</v>
      </c>
      <c r="Q166" s="31">
        <f>AU166+MIN(AA165+AK166-AU166,MAX(0,ROUND(ROUND(Долги!$D$19-SUM($AL166:$AU166),2)-(SUM($H166:P166)-SUM($AL166:AT166)),2)))</f>
        <v>0.0</v>
      </c>
      <c r="R166" s="31">
        <f>IF(R165+AB166-H166&lt;=0.01,0,ROUND(R165+AB166-H166,2))</f>
        <v>0.0</v>
      </c>
      <c r="S166" s="31">
        <f>IF(S165+AC166-I166&lt;=0.01,0,ROUND(S165+AC166-I166,2))</f>
        <v>0.0</v>
      </c>
      <c r="T166" s="31">
        <f>IF(T165+AD166-J166&lt;=0.01,0,ROUND(T165+AD166-J166,2))</f>
        <v>0.0</v>
      </c>
      <c r="U166" s="31">
        <f>IF(U165+AE166-K166&lt;=0.01,0,ROUND(U165+AE166-K166,2))</f>
        <v>0.0</v>
      </c>
      <c r="V166" s="31">
        <f>IF(V165+AF166-L166&lt;=0.01,0,ROUND(V165+AF166-L166,2))</f>
        <v>0.0</v>
      </c>
      <c r="W166" s="31">
        <f>IF(W165+AG166-M166&lt;=0.01,0,ROUND(W165+AG166-M166,2))</f>
        <v>0.0</v>
      </c>
      <c r="X166" s="31">
        <f>IF(X165+AH166-N166&lt;=0.01,0,ROUND(X165+AH166-N166,2))</f>
        <v>0.0</v>
      </c>
      <c r="Y166" s="31">
        <f>IF(Y165+AI166-O166&lt;=0.01,0,ROUND(Y165+AI166-O166,2))</f>
        <v>0.0</v>
      </c>
      <c r="Z166" s="31">
        <f>IF(Z165+AJ166-P166&lt;=0.01,0,ROUND(Z165+AJ166-P166,2))</f>
        <v>0.0</v>
      </c>
      <c r="AA166" s="31">
        <f>IF(AA165+AK166-Q166&lt;=0.01,0,ROUND(AA165+AK166-Q166,2))</f>
        <v>0.0</v>
      </c>
      <c r="AB166" s="31">
        <f>ROUND(R165*AB$5/1200,2)</f>
        <v>0.0</v>
      </c>
      <c r="AC166" s="31">
        <f>ROUND(S165*AC$5/1200,2)</f>
        <v>0.0</v>
      </c>
      <c r="AD166" s="31">
        <f>ROUND(T165*AD$5/1200,2)</f>
        <v>0.0</v>
      </c>
      <c r="AE166" s="31">
        <f>ROUND(U165*AE$5/1200,2)</f>
        <v>0.0</v>
      </c>
      <c r="AF166" s="31">
        <f>ROUND(V165*AF$5/1200,2)</f>
        <v>0.0</v>
      </c>
      <c r="AG166" s="31">
        <f>ROUND(W165*AG$5/1200,2)</f>
        <v>0.0</v>
      </c>
      <c r="AH166" s="31">
        <f>ROUND(X165*AH$5/1200,2)</f>
        <v>0.0</v>
      </c>
      <c r="AI166" s="31">
        <f>ROUND(Y165*AI$5/1200,2)</f>
        <v>0.0</v>
      </c>
      <c r="AJ166" s="31">
        <f>ROUND(Z165*AJ$5/1200,2)</f>
        <v>0.0</v>
      </c>
      <c r="AK166" s="31">
        <f>ROUND(AA165*AK$5/1200,2)</f>
        <v>0.0</v>
      </c>
      <c r="AL166" s="31">
        <f>MIN(AL$5,R165+AB166)</f>
        <v>0.0</v>
      </c>
      <c r="AM166" s="31">
        <f>MIN(AM$5,S165+AC166)</f>
        <v>0.0</v>
      </c>
      <c r="AN166" s="31">
        <f>MIN(AN$5,T165+AD166)</f>
        <v>0.0</v>
      </c>
      <c r="AO166" s="31">
        <f>MIN(AO$5,U165+AE166)</f>
        <v>0.0</v>
      </c>
      <c r="AP166" s="31">
        <f>MIN(AP$5,V165+AF166)</f>
        <v>0.0</v>
      </c>
      <c r="AQ166" s="31">
        <f>MIN(AQ$5,W165+AG166)</f>
        <v>0.0</v>
      </c>
      <c r="AR166" s="31">
        <f>MIN(AR$5,X165+AH166)</f>
        <v>0.0</v>
      </c>
      <c r="AS166" s="31">
        <f>MIN(AS$5,Y165+AI166)</f>
        <v>0.0</v>
      </c>
      <c r="AT166" s="31">
        <f>MIN(AT$5,Z165+AJ166)</f>
        <v>0.0</v>
      </c>
      <c r="AU166" s="31">
        <f>MIN(AU$5,AA165+AK166)</f>
        <v>0.0</v>
      </c>
    </row>
    <row r="167">
      <c r="A167" s="25" t="str">
        <f>IF(F166&gt;0.005,162,"")</f>
        <v/>
      </c>
      <c r="B167" s="33" t="str">
        <f>IF(A167="","",EDATE(Долги!$D$5,161))</f>
        <v/>
      </c>
      <c r="C167" s="31">
        <f>SUM(H167:Q167)</f>
        <v>0.0</v>
      </c>
      <c r="D167" s="31">
        <f>SUM(AB167:AK167)</f>
        <v>0.0</v>
      </c>
      <c r="E167" s="31">
        <f>C167-D167</f>
        <v>0.0</v>
      </c>
      <c r="F167" s="31">
        <f>SUM(R167:AA167)</f>
        <v>0.0</v>
      </c>
      <c r="G167" s="34" t="str">
        <f>IF(OR(A167="",$F$5&lt;=0),"",REPT("█",ROUND(20*F167/$F$5,0)))</f>
        <v/>
      </c>
      <c r="H167" s="31">
        <f>AL167+MIN(R166+AB167-AL167,MAX(0,ROUND(Долги!$D$19-SUM($AL167:$AU167),2)))</f>
        <v>0.0</v>
      </c>
      <c r="I167" s="31">
        <f>AM167+MIN(S166+AC167-AM167,MAX(0,ROUND(ROUND(Долги!$D$19-SUM($AL167:$AU167),2)-(SUM($H167:H167)-SUM($AL167:AL167)),2)))</f>
        <v>0.0</v>
      </c>
      <c r="J167" s="31">
        <f>AN167+MIN(T166+AD167-AN167,MAX(0,ROUND(ROUND(Долги!$D$19-SUM($AL167:$AU167),2)-(SUM($H167:I167)-SUM($AL167:AM167)),2)))</f>
        <v>0.0</v>
      </c>
      <c r="K167" s="31">
        <f>AO167+MIN(U166+AE167-AO167,MAX(0,ROUND(ROUND(Долги!$D$19-SUM($AL167:$AU167),2)-(SUM($H167:J167)-SUM($AL167:AN167)),2)))</f>
        <v>0.0</v>
      </c>
      <c r="L167" s="31">
        <f>AP167+MIN(V166+AF167-AP167,MAX(0,ROUND(ROUND(Долги!$D$19-SUM($AL167:$AU167),2)-(SUM($H167:K167)-SUM($AL167:AO167)),2)))</f>
        <v>0.0</v>
      </c>
      <c r="M167" s="31">
        <f>AQ167+MIN(W166+AG167-AQ167,MAX(0,ROUND(ROUND(Долги!$D$19-SUM($AL167:$AU167),2)-(SUM($H167:L167)-SUM($AL167:AP167)),2)))</f>
        <v>0.0</v>
      </c>
      <c r="N167" s="31">
        <f>AR167+MIN(X166+AH167-AR167,MAX(0,ROUND(ROUND(Долги!$D$19-SUM($AL167:$AU167),2)-(SUM($H167:M167)-SUM($AL167:AQ167)),2)))</f>
        <v>0.0</v>
      </c>
      <c r="O167" s="31">
        <f>AS167+MIN(Y166+AI167-AS167,MAX(0,ROUND(ROUND(Долги!$D$19-SUM($AL167:$AU167),2)-(SUM($H167:N167)-SUM($AL167:AR167)),2)))</f>
        <v>0.0</v>
      </c>
      <c r="P167" s="31">
        <f>AT167+MIN(Z166+AJ167-AT167,MAX(0,ROUND(ROUND(Долги!$D$19-SUM($AL167:$AU167),2)-(SUM($H167:O167)-SUM($AL167:AS167)),2)))</f>
        <v>0.0</v>
      </c>
      <c r="Q167" s="31">
        <f>AU167+MIN(AA166+AK167-AU167,MAX(0,ROUND(ROUND(Долги!$D$19-SUM($AL167:$AU167),2)-(SUM($H167:P167)-SUM($AL167:AT167)),2)))</f>
        <v>0.0</v>
      </c>
      <c r="R167" s="31">
        <f>IF(R166+AB167-H167&lt;=0.01,0,ROUND(R166+AB167-H167,2))</f>
        <v>0.0</v>
      </c>
      <c r="S167" s="31">
        <f>IF(S166+AC167-I167&lt;=0.01,0,ROUND(S166+AC167-I167,2))</f>
        <v>0.0</v>
      </c>
      <c r="T167" s="31">
        <f>IF(T166+AD167-J167&lt;=0.01,0,ROUND(T166+AD167-J167,2))</f>
        <v>0.0</v>
      </c>
      <c r="U167" s="31">
        <f>IF(U166+AE167-K167&lt;=0.01,0,ROUND(U166+AE167-K167,2))</f>
        <v>0.0</v>
      </c>
      <c r="V167" s="31">
        <f>IF(V166+AF167-L167&lt;=0.01,0,ROUND(V166+AF167-L167,2))</f>
        <v>0.0</v>
      </c>
      <c r="W167" s="31">
        <f>IF(W166+AG167-M167&lt;=0.01,0,ROUND(W166+AG167-M167,2))</f>
        <v>0.0</v>
      </c>
      <c r="X167" s="31">
        <f>IF(X166+AH167-N167&lt;=0.01,0,ROUND(X166+AH167-N167,2))</f>
        <v>0.0</v>
      </c>
      <c r="Y167" s="31">
        <f>IF(Y166+AI167-O167&lt;=0.01,0,ROUND(Y166+AI167-O167,2))</f>
        <v>0.0</v>
      </c>
      <c r="Z167" s="31">
        <f>IF(Z166+AJ167-P167&lt;=0.01,0,ROUND(Z166+AJ167-P167,2))</f>
        <v>0.0</v>
      </c>
      <c r="AA167" s="31">
        <f>IF(AA166+AK167-Q167&lt;=0.01,0,ROUND(AA166+AK167-Q167,2))</f>
        <v>0.0</v>
      </c>
      <c r="AB167" s="31">
        <f>ROUND(R166*AB$5/1200,2)</f>
        <v>0.0</v>
      </c>
      <c r="AC167" s="31">
        <f>ROUND(S166*AC$5/1200,2)</f>
        <v>0.0</v>
      </c>
      <c r="AD167" s="31">
        <f>ROUND(T166*AD$5/1200,2)</f>
        <v>0.0</v>
      </c>
      <c r="AE167" s="31">
        <f>ROUND(U166*AE$5/1200,2)</f>
        <v>0.0</v>
      </c>
      <c r="AF167" s="31">
        <f>ROUND(V166*AF$5/1200,2)</f>
        <v>0.0</v>
      </c>
      <c r="AG167" s="31">
        <f>ROUND(W166*AG$5/1200,2)</f>
        <v>0.0</v>
      </c>
      <c r="AH167" s="31">
        <f>ROUND(X166*AH$5/1200,2)</f>
        <v>0.0</v>
      </c>
      <c r="AI167" s="31">
        <f>ROUND(Y166*AI$5/1200,2)</f>
        <v>0.0</v>
      </c>
      <c r="AJ167" s="31">
        <f>ROUND(Z166*AJ$5/1200,2)</f>
        <v>0.0</v>
      </c>
      <c r="AK167" s="31">
        <f>ROUND(AA166*AK$5/1200,2)</f>
        <v>0.0</v>
      </c>
      <c r="AL167" s="31">
        <f>MIN(AL$5,R166+AB167)</f>
        <v>0.0</v>
      </c>
      <c r="AM167" s="31">
        <f>MIN(AM$5,S166+AC167)</f>
        <v>0.0</v>
      </c>
      <c r="AN167" s="31">
        <f>MIN(AN$5,T166+AD167)</f>
        <v>0.0</v>
      </c>
      <c r="AO167" s="31">
        <f>MIN(AO$5,U166+AE167)</f>
        <v>0.0</v>
      </c>
      <c r="AP167" s="31">
        <f>MIN(AP$5,V166+AF167)</f>
        <v>0.0</v>
      </c>
      <c r="AQ167" s="31">
        <f>MIN(AQ$5,W166+AG167)</f>
        <v>0.0</v>
      </c>
      <c r="AR167" s="31">
        <f>MIN(AR$5,X166+AH167)</f>
        <v>0.0</v>
      </c>
      <c r="AS167" s="31">
        <f>MIN(AS$5,Y166+AI167)</f>
        <v>0.0</v>
      </c>
      <c r="AT167" s="31">
        <f>MIN(AT$5,Z166+AJ167)</f>
        <v>0.0</v>
      </c>
      <c r="AU167" s="31">
        <f>MIN(AU$5,AA166+AK167)</f>
        <v>0.0</v>
      </c>
    </row>
    <row r="168">
      <c r="A168" s="25" t="str">
        <f>IF(F167&gt;0.005,163,"")</f>
        <v/>
      </c>
      <c r="B168" s="33" t="str">
        <f>IF(A168="","",EDATE(Долги!$D$5,162))</f>
        <v/>
      </c>
      <c r="C168" s="31">
        <f>SUM(H168:Q168)</f>
        <v>0.0</v>
      </c>
      <c r="D168" s="31">
        <f>SUM(AB168:AK168)</f>
        <v>0.0</v>
      </c>
      <c r="E168" s="31">
        <f>C168-D168</f>
        <v>0.0</v>
      </c>
      <c r="F168" s="31">
        <f>SUM(R168:AA168)</f>
        <v>0.0</v>
      </c>
      <c r="G168" s="34" t="str">
        <f>IF(OR(A168="",$F$5&lt;=0),"",REPT("█",ROUND(20*F168/$F$5,0)))</f>
        <v/>
      </c>
      <c r="H168" s="31">
        <f>AL168+MIN(R167+AB168-AL168,MAX(0,ROUND(Долги!$D$19-SUM($AL168:$AU168),2)))</f>
        <v>0.0</v>
      </c>
      <c r="I168" s="31">
        <f>AM168+MIN(S167+AC168-AM168,MAX(0,ROUND(ROUND(Долги!$D$19-SUM($AL168:$AU168),2)-(SUM($H168:H168)-SUM($AL168:AL168)),2)))</f>
        <v>0.0</v>
      </c>
      <c r="J168" s="31">
        <f>AN168+MIN(T167+AD168-AN168,MAX(0,ROUND(ROUND(Долги!$D$19-SUM($AL168:$AU168),2)-(SUM($H168:I168)-SUM($AL168:AM168)),2)))</f>
        <v>0.0</v>
      </c>
      <c r="K168" s="31">
        <f>AO168+MIN(U167+AE168-AO168,MAX(0,ROUND(ROUND(Долги!$D$19-SUM($AL168:$AU168),2)-(SUM($H168:J168)-SUM($AL168:AN168)),2)))</f>
        <v>0.0</v>
      </c>
      <c r="L168" s="31">
        <f>AP168+MIN(V167+AF168-AP168,MAX(0,ROUND(ROUND(Долги!$D$19-SUM($AL168:$AU168),2)-(SUM($H168:K168)-SUM($AL168:AO168)),2)))</f>
        <v>0.0</v>
      </c>
      <c r="M168" s="31">
        <f>AQ168+MIN(W167+AG168-AQ168,MAX(0,ROUND(ROUND(Долги!$D$19-SUM($AL168:$AU168),2)-(SUM($H168:L168)-SUM($AL168:AP168)),2)))</f>
        <v>0.0</v>
      </c>
      <c r="N168" s="31">
        <f>AR168+MIN(X167+AH168-AR168,MAX(0,ROUND(ROUND(Долги!$D$19-SUM($AL168:$AU168),2)-(SUM($H168:M168)-SUM($AL168:AQ168)),2)))</f>
        <v>0.0</v>
      </c>
      <c r="O168" s="31">
        <f>AS168+MIN(Y167+AI168-AS168,MAX(0,ROUND(ROUND(Долги!$D$19-SUM($AL168:$AU168),2)-(SUM($H168:N168)-SUM($AL168:AR168)),2)))</f>
        <v>0.0</v>
      </c>
      <c r="P168" s="31">
        <f>AT168+MIN(Z167+AJ168-AT168,MAX(0,ROUND(ROUND(Долги!$D$19-SUM($AL168:$AU168),2)-(SUM($H168:O168)-SUM($AL168:AS168)),2)))</f>
        <v>0.0</v>
      </c>
      <c r="Q168" s="31">
        <f>AU168+MIN(AA167+AK168-AU168,MAX(0,ROUND(ROUND(Долги!$D$19-SUM($AL168:$AU168),2)-(SUM($H168:P168)-SUM($AL168:AT168)),2)))</f>
        <v>0.0</v>
      </c>
      <c r="R168" s="31">
        <f>IF(R167+AB168-H168&lt;=0.01,0,ROUND(R167+AB168-H168,2))</f>
        <v>0.0</v>
      </c>
      <c r="S168" s="31">
        <f>IF(S167+AC168-I168&lt;=0.01,0,ROUND(S167+AC168-I168,2))</f>
        <v>0.0</v>
      </c>
      <c r="T168" s="31">
        <f>IF(T167+AD168-J168&lt;=0.01,0,ROUND(T167+AD168-J168,2))</f>
        <v>0.0</v>
      </c>
      <c r="U168" s="31">
        <f>IF(U167+AE168-K168&lt;=0.01,0,ROUND(U167+AE168-K168,2))</f>
        <v>0.0</v>
      </c>
      <c r="V168" s="31">
        <f>IF(V167+AF168-L168&lt;=0.01,0,ROUND(V167+AF168-L168,2))</f>
        <v>0.0</v>
      </c>
      <c r="W168" s="31">
        <f>IF(W167+AG168-M168&lt;=0.01,0,ROUND(W167+AG168-M168,2))</f>
        <v>0.0</v>
      </c>
      <c r="X168" s="31">
        <f>IF(X167+AH168-N168&lt;=0.01,0,ROUND(X167+AH168-N168,2))</f>
        <v>0.0</v>
      </c>
      <c r="Y168" s="31">
        <f>IF(Y167+AI168-O168&lt;=0.01,0,ROUND(Y167+AI168-O168,2))</f>
        <v>0.0</v>
      </c>
      <c r="Z168" s="31">
        <f>IF(Z167+AJ168-P168&lt;=0.01,0,ROUND(Z167+AJ168-P168,2))</f>
        <v>0.0</v>
      </c>
      <c r="AA168" s="31">
        <f>IF(AA167+AK168-Q168&lt;=0.01,0,ROUND(AA167+AK168-Q168,2))</f>
        <v>0.0</v>
      </c>
      <c r="AB168" s="31">
        <f>ROUND(R167*AB$5/1200,2)</f>
        <v>0.0</v>
      </c>
      <c r="AC168" s="31">
        <f>ROUND(S167*AC$5/1200,2)</f>
        <v>0.0</v>
      </c>
      <c r="AD168" s="31">
        <f>ROUND(T167*AD$5/1200,2)</f>
        <v>0.0</v>
      </c>
      <c r="AE168" s="31">
        <f>ROUND(U167*AE$5/1200,2)</f>
        <v>0.0</v>
      </c>
      <c r="AF168" s="31">
        <f>ROUND(V167*AF$5/1200,2)</f>
        <v>0.0</v>
      </c>
      <c r="AG168" s="31">
        <f>ROUND(W167*AG$5/1200,2)</f>
        <v>0.0</v>
      </c>
      <c r="AH168" s="31">
        <f>ROUND(X167*AH$5/1200,2)</f>
        <v>0.0</v>
      </c>
      <c r="AI168" s="31">
        <f>ROUND(Y167*AI$5/1200,2)</f>
        <v>0.0</v>
      </c>
      <c r="AJ168" s="31">
        <f>ROUND(Z167*AJ$5/1200,2)</f>
        <v>0.0</v>
      </c>
      <c r="AK168" s="31">
        <f>ROUND(AA167*AK$5/1200,2)</f>
        <v>0.0</v>
      </c>
      <c r="AL168" s="31">
        <f>MIN(AL$5,R167+AB168)</f>
        <v>0.0</v>
      </c>
      <c r="AM168" s="31">
        <f>MIN(AM$5,S167+AC168)</f>
        <v>0.0</v>
      </c>
      <c r="AN168" s="31">
        <f>MIN(AN$5,T167+AD168)</f>
        <v>0.0</v>
      </c>
      <c r="AO168" s="31">
        <f>MIN(AO$5,U167+AE168)</f>
        <v>0.0</v>
      </c>
      <c r="AP168" s="31">
        <f>MIN(AP$5,V167+AF168)</f>
        <v>0.0</v>
      </c>
      <c r="AQ168" s="31">
        <f>MIN(AQ$5,W167+AG168)</f>
        <v>0.0</v>
      </c>
      <c r="AR168" s="31">
        <f>MIN(AR$5,X167+AH168)</f>
        <v>0.0</v>
      </c>
      <c r="AS168" s="31">
        <f>MIN(AS$5,Y167+AI168)</f>
        <v>0.0</v>
      </c>
      <c r="AT168" s="31">
        <f>MIN(AT$5,Z167+AJ168)</f>
        <v>0.0</v>
      </c>
      <c r="AU168" s="31">
        <f>MIN(AU$5,AA167+AK168)</f>
        <v>0.0</v>
      </c>
    </row>
    <row r="169">
      <c r="A169" s="25" t="str">
        <f>IF(F168&gt;0.005,164,"")</f>
        <v/>
      </c>
      <c r="B169" s="33" t="str">
        <f>IF(A169="","",EDATE(Долги!$D$5,163))</f>
        <v/>
      </c>
      <c r="C169" s="31">
        <f>SUM(H169:Q169)</f>
        <v>0.0</v>
      </c>
      <c r="D169" s="31">
        <f>SUM(AB169:AK169)</f>
        <v>0.0</v>
      </c>
      <c r="E169" s="31">
        <f>C169-D169</f>
        <v>0.0</v>
      </c>
      <c r="F169" s="31">
        <f>SUM(R169:AA169)</f>
        <v>0.0</v>
      </c>
      <c r="G169" s="34" t="str">
        <f>IF(OR(A169="",$F$5&lt;=0),"",REPT("█",ROUND(20*F169/$F$5,0)))</f>
        <v/>
      </c>
      <c r="H169" s="31">
        <f>AL169+MIN(R168+AB169-AL169,MAX(0,ROUND(Долги!$D$19-SUM($AL169:$AU169),2)))</f>
        <v>0.0</v>
      </c>
      <c r="I169" s="31">
        <f>AM169+MIN(S168+AC169-AM169,MAX(0,ROUND(ROUND(Долги!$D$19-SUM($AL169:$AU169),2)-(SUM($H169:H169)-SUM($AL169:AL169)),2)))</f>
        <v>0.0</v>
      </c>
      <c r="J169" s="31">
        <f>AN169+MIN(T168+AD169-AN169,MAX(0,ROUND(ROUND(Долги!$D$19-SUM($AL169:$AU169),2)-(SUM($H169:I169)-SUM($AL169:AM169)),2)))</f>
        <v>0.0</v>
      </c>
      <c r="K169" s="31">
        <f>AO169+MIN(U168+AE169-AO169,MAX(0,ROUND(ROUND(Долги!$D$19-SUM($AL169:$AU169),2)-(SUM($H169:J169)-SUM($AL169:AN169)),2)))</f>
        <v>0.0</v>
      </c>
      <c r="L169" s="31">
        <f>AP169+MIN(V168+AF169-AP169,MAX(0,ROUND(ROUND(Долги!$D$19-SUM($AL169:$AU169),2)-(SUM($H169:K169)-SUM($AL169:AO169)),2)))</f>
        <v>0.0</v>
      </c>
      <c r="M169" s="31">
        <f>AQ169+MIN(W168+AG169-AQ169,MAX(0,ROUND(ROUND(Долги!$D$19-SUM($AL169:$AU169),2)-(SUM($H169:L169)-SUM($AL169:AP169)),2)))</f>
        <v>0.0</v>
      </c>
      <c r="N169" s="31">
        <f>AR169+MIN(X168+AH169-AR169,MAX(0,ROUND(ROUND(Долги!$D$19-SUM($AL169:$AU169),2)-(SUM($H169:M169)-SUM($AL169:AQ169)),2)))</f>
        <v>0.0</v>
      </c>
      <c r="O169" s="31">
        <f>AS169+MIN(Y168+AI169-AS169,MAX(0,ROUND(ROUND(Долги!$D$19-SUM($AL169:$AU169),2)-(SUM($H169:N169)-SUM($AL169:AR169)),2)))</f>
        <v>0.0</v>
      </c>
      <c r="P169" s="31">
        <f>AT169+MIN(Z168+AJ169-AT169,MAX(0,ROUND(ROUND(Долги!$D$19-SUM($AL169:$AU169),2)-(SUM($H169:O169)-SUM($AL169:AS169)),2)))</f>
        <v>0.0</v>
      </c>
      <c r="Q169" s="31">
        <f>AU169+MIN(AA168+AK169-AU169,MAX(0,ROUND(ROUND(Долги!$D$19-SUM($AL169:$AU169),2)-(SUM($H169:P169)-SUM($AL169:AT169)),2)))</f>
        <v>0.0</v>
      </c>
      <c r="R169" s="31">
        <f>IF(R168+AB169-H169&lt;=0.01,0,ROUND(R168+AB169-H169,2))</f>
        <v>0.0</v>
      </c>
      <c r="S169" s="31">
        <f>IF(S168+AC169-I169&lt;=0.01,0,ROUND(S168+AC169-I169,2))</f>
        <v>0.0</v>
      </c>
      <c r="T169" s="31">
        <f>IF(T168+AD169-J169&lt;=0.01,0,ROUND(T168+AD169-J169,2))</f>
        <v>0.0</v>
      </c>
      <c r="U169" s="31">
        <f>IF(U168+AE169-K169&lt;=0.01,0,ROUND(U168+AE169-K169,2))</f>
        <v>0.0</v>
      </c>
      <c r="V169" s="31">
        <f>IF(V168+AF169-L169&lt;=0.01,0,ROUND(V168+AF169-L169,2))</f>
        <v>0.0</v>
      </c>
      <c r="W169" s="31">
        <f>IF(W168+AG169-M169&lt;=0.01,0,ROUND(W168+AG169-M169,2))</f>
        <v>0.0</v>
      </c>
      <c r="X169" s="31">
        <f>IF(X168+AH169-N169&lt;=0.01,0,ROUND(X168+AH169-N169,2))</f>
        <v>0.0</v>
      </c>
      <c r="Y169" s="31">
        <f>IF(Y168+AI169-O169&lt;=0.01,0,ROUND(Y168+AI169-O169,2))</f>
        <v>0.0</v>
      </c>
      <c r="Z169" s="31">
        <f>IF(Z168+AJ169-P169&lt;=0.01,0,ROUND(Z168+AJ169-P169,2))</f>
        <v>0.0</v>
      </c>
      <c r="AA169" s="31">
        <f>IF(AA168+AK169-Q169&lt;=0.01,0,ROUND(AA168+AK169-Q169,2))</f>
        <v>0.0</v>
      </c>
      <c r="AB169" s="31">
        <f>ROUND(R168*AB$5/1200,2)</f>
        <v>0.0</v>
      </c>
      <c r="AC169" s="31">
        <f>ROUND(S168*AC$5/1200,2)</f>
        <v>0.0</v>
      </c>
      <c r="AD169" s="31">
        <f>ROUND(T168*AD$5/1200,2)</f>
        <v>0.0</v>
      </c>
      <c r="AE169" s="31">
        <f>ROUND(U168*AE$5/1200,2)</f>
        <v>0.0</v>
      </c>
      <c r="AF169" s="31">
        <f>ROUND(V168*AF$5/1200,2)</f>
        <v>0.0</v>
      </c>
      <c r="AG169" s="31">
        <f>ROUND(W168*AG$5/1200,2)</f>
        <v>0.0</v>
      </c>
      <c r="AH169" s="31">
        <f>ROUND(X168*AH$5/1200,2)</f>
        <v>0.0</v>
      </c>
      <c r="AI169" s="31">
        <f>ROUND(Y168*AI$5/1200,2)</f>
        <v>0.0</v>
      </c>
      <c r="AJ169" s="31">
        <f>ROUND(Z168*AJ$5/1200,2)</f>
        <v>0.0</v>
      </c>
      <c r="AK169" s="31">
        <f>ROUND(AA168*AK$5/1200,2)</f>
        <v>0.0</v>
      </c>
      <c r="AL169" s="31">
        <f>MIN(AL$5,R168+AB169)</f>
        <v>0.0</v>
      </c>
      <c r="AM169" s="31">
        <f>MIN(AM$5,S168+AC169)</f>
        <v>0.0</v>
      </c>
      <c r="AN169" s="31">
        <f>MIN(AN$5,T168+AD169)</f>
        <v>0.0</v>
      </c>
      <c r="AO169" s="31">
        <f>MIN(AO$5,U168+AE169)</f>
        <v>0.0</v>
      </c>
      <c r="AP169" s="31">
        <f>MIN(AP$5,V168+AF169)</f>
        <v>0.0</v>
      </c>
      <c r="AQ169" s="31">
        <f>MIN(AQ$5,W168+AG169)</f>
        <v>0.0</v>
      </c>
      <c r="AR169" s="31">
        <f>MIN(AR$5,X168+AH169)</f>
        <v>0.0</v>
      </c>
      <c r="AS169" s="31">
        <f>MIN(AS$5,Y168+AI169)</f>
        <v>0.0</v>
      </c>
      <c r="AT169" s="31">
        <f>MIN(AT$5,Z168+AJ169)</f>
        <v>0.0</v>
      </c>
      <c r="AU169" s="31">
        <f>MIN(AU$5,AA168+AK169)</f>
        <v>0.0</v>
      </c>
    </row>
    <row r="170">
      <c r="A170" s="25" t="str">
        <f>IF(F169&gt;0.005,165,"")</f>
        <v/>
      </c>
      <c r="B170" s="33" t="str">
        <f>IF(A170="","",EDATE(Долги!$D$5,164))</f>
        <v/>
      </c>
      <c r="C170" s="31">
        <f>SUM(H170:Q170)</f>
        <v>0.0</v>
      </c>
      <c r="D170" s="31">
        <f>SUM(AB170:AK170)</f>
        <v>0.0</v>
      </c>
      <c r="E170" s="31">
        <f>C170-D170</f>
        <v>0.0</v>
      </c>
      <c r="F170" s="31">
        <f>SUM(R170:AA170)</f>
        <v>0.0</v>
      </c>
      <c r="G170" s="34" t="str">
        <f>IF(OR(A170="",$F$5&lt;=0),"",REPT("█",ROUND(20*F170/$F$5,0)))</f>
        <v/>
      </c>
      <c r="H170" s="31">
        <f>AL170+MIN(R169+AB170-AL170,MAX(0,ROUND(Долги!$D$19-SUM($AL170:$AU170),2)))</f>
        <v>0.0</v>
      </c>
      <c r="I170" s="31">
        <f>AM170+MIN(S169+AC170-AM170,MAX(0,ROUND(ROUND(Долги!$D$19-SUM($AL170:$AU170),2)-(SUM($H170:H170)-SUM($AL170:AL170)),2)))</f>
        <v>0.0</v>
      </c>
      <c r="J170" s="31">
        <f>AN170+MIN(T169+AD170-AN170,MAX(0,ROUND(ROUND(Долги!$D$19-SUM($AL170:$AU170),2)-(SUM($H170:I170)-SUM($AL170:AM170)),2)))</f>
        <v>0.0</v>
      </c>
      <c r="K170" s="31">
        <f>AO170+MIN(U169+AE170-AO170,MAX(0,ROUND(ROUND(Долги!$D$19-SUM($AL170:$AU170),2)-(SUM($H170:J170)-SUM($AL170:AN170)),2)))</f>
        <v>0.0</v>
      </c>
      <c r="L170" s="31">
        <f>AP170+MIN(V169+AF170-AP170,MAX(0,ROUND(ROUND(Долги!$D$19-SUM($AL170:$AU170),2)-(SUM($H170:K170)-SUM($AL170:AO170)),2)))</f>
        <v>0.0</v>
      </c>
      <c r="M170" s="31">
        <f>AQ170+MIN(W169+AG170-AQ170,MAX(0,ROUND(ROUND(Долги!$D$19-SUM($AL170:$AU170),2)-(SUM($H170:L170)-SUM($AL170:AP170)),2)))</f>
        <v>0.0</v>
      </c>
      <c r="N170" s="31">
        <f>AR170+MIN(X169+AH170-AR170,MAX(0,ROUND(ROUND(Долги!$D$19-SUM($AL170:$AU170),2)-(SUM($H170:M170)-SUM($AL170:AQ170)),2)))</f>
        <v>0.0</v>
      </c>
      <c r="O170" s="31">
        <f>AS170+MIN(Y169+AI170-AS170,MAX(0,ROUND(ROUND(Долги!$D$19-SUM($AL170:$AU170),2)-(SUM($H170:N170)-SUM($AL170:AR170)),2)))</f>
        <v>0.0</v>
      </c>
      <c r="P170" s="31">
        <f>AT170+MIN(Z169+AJ170-AT170,MAX(0,ROUND(ROUND(Долги!$D$19-SUM($AL170:$AU170),2)-(SUM($H170:O170)-SUM($AL170:AS170)),2)))</f>
        <v>0.0</v>
      </c>
      <c r="Q170" s="31">
        <f>AU170+MIN(AA169+AK170-AU170,MAX(0,ROUND(ROUND(Долги!$D$19-SUM($AL170:$AU170),2)-(SUM($H170:P170)-SUM($AL170:AT170)),2)))</f>
        <v>0.0</v>
      </c>
      <c r="R170" s="31">
        <f>IF(R169+AB170-H170&lt;=0.01,0,ROUND(R169+AB170-H170,2))</f>
        <v>0.0</v>
      </c>
      <c r="S170" s="31">
        <f>IF(S169+AC170-I170&lt;=0.01,0,ROUND(S169+AC170-I170,2))</f>
        <v>0.0</v>
      </c>
      <c r="T170" s="31">
        <f>IF(T169+AD170-J170&lt;=0.01,0,ROUND(T169+AD170-J170,2))</f>
        <v>0.0</v>
      </c>
      <c r="U170" s="31">
        <f>IF(U169+AE170-K170&lt;=0.01,0,ROUND(U169+AE170-K170,2))</f>
        <v>0.0</v>
      </c>
      <c r="V170" s="31">
        <f>IF(V169+AF170-L170&lt;=0.01,0,ROUND(V169+AF170-L170,2))</f>
        <v>0.0</v>
      </c>
      <c r="W170" s="31">
        <f>IF(W169+AG170-M170&lt;=0.01,0,ROUND(W169+AG170-M170,2))</f>
        <v>0.0</v>
      </c>
      <c r="X170" s="31">
        <f>IF(X169+AH170-N170&lt;=0.01,0,ROUND(X169+AH170-N170,2))</f>
        <v>0.0</v>
      </c>
      <c r="Y170" s="31">
        <f>IF(Y169+AI170-O170&lt;=0.01,0,ROUND(Y169+AI170-O170,2))</f>
        <v>0.0</v>
      </c>
      <c r="Z170" s="31">
        <f>IF(Z169+AJ170-P170&lt;=0.01,0,ROUND(Z169+AJ170-P170,2))</f>
        <v>0.0</v>
      </c>
      <c r="AA170" s="31">
        <f>IF(AA169+AK170-Q170&lt;=0.01,0,ROUND(AA169+AK170-Q170,2))</f>
        <v>0.0</v>
      </c>
      <c r="AB170" s="31">
        <f>ROUND(R169*AB$5/1200,2)</f>
        <v>0.0</v>
      </c>
      <c r="AC170" s="31">
        <f>ROUND(S169*AC$5/1200,2)</f>
        <v>0.0</v>
      </c>
      <c r="AD170" s="31">
        <f>ROUND(T169*AD$5/1200,2)</f>
        <v>0.0</v>
      </c>
      <c r="AE170" s="31">
        <f>ROUND(U169*AE$5/1200,2)</f>
        <v>0.0</v>
      </c>
      <c r="AF170" s="31">
        <f>ROUND(V169*AF$5/1200,2)</f>
        <v>0.0</v>
      </c>
      <c r="AG170" s="31">
        <f>ROUND(W169*AG$5/1200,2)</f>
        <v>0.0</v>
      </c>
      <c r="AH170" s="31">
        <f>ROUND(X169*AH$5/1200,2)</f>
        <v>0.0</v>
      </c>
      <c r="AI170" s="31">
        <f>ROUND(Y169*AI$5/1200,2)</f>
        <v>0.0</v>
      </c>
      <c r="AJ170" s="31">
        <f>ROUND(Z169*AJ$5/1200,2)</f>
        <v>0.0</v>
      </c>
      <c r="AK170" s="31">
        <f>ROUND(AA169*AK$5/1200,2)</f>
        <v>0.0</v>
      </c>
      <c r="AL170" s="31">
        <f>MIN(AL$5,R169+AB170)</f>
        <v>0.0</v>
      </c>
      <c r="AM170" s="31">
        <f>MIN(AM$5,S169+AC170)</f>
        <v>0.0</v>
      </c>
      <c r="AN170" s="31">
        <f>MIN(AN$5,T169+AD170)</f>
        <v>0.0</v>
      </c>
      <c r="AO170" s="31">
        <f>MIN(AO$5,U169+AE170)</f>
        <v>0.0</v>
      </c>
      <c r="AP170" s="31">
        <f>MIN(AP$5,V169+AF170)</f>
        <v>0.0</v>
      </c>
      <c r="AQ170" s="31">
        <f>MIN(AQ$5,W169+AG170)</f>
        <v>0.0</v>
      </c>
      <c r="AR170" s="31">
        <f>MIN(AR$5,X169+AH170)</f>
        <v>0.0</v>
      </c>
      <c r="AS170" s="31">
        <f>MIN(AS$5,Y169+AI170)</f>
        <v>0.0</v>
      </c>
      <c r="AT170" s="31">
        <f>MIN(AT$5,Z169+AJ170)</f>
        <v>0.0</v>
      </c>
      <c r="AU170" s="31">
        <f>MIN(AU$5,AA169+AK170)</f>
        <v>0.0</v>
      </c>
    </row>
    <row r="171">
      <c r="A171" s="25" t="str">
        <f>IF(F170&gt;0.005,166,"")</f>
        <v/>
      </c>
      <c r="B171" s="33" t="str">
        <f>IF(A171="","",EDATE(Долги!$D$5,165))</f>
        <v/>
      </c>
      <c r="C171" s="31">
        <f>SUM(H171:Q171)</f>
        <v>0.0</v>
      </c>
      <c r="D171" s="31">
        <f>SUM(AB171:AK171)</f>
        <v>0.0</v>
      </c>
      <c r="E171" s="31">
        <f>C171-D171</f>
        <v>0.0</v>
      </c>
      <c r="F171" s="31">
        <f>SUM(R171:AA171)</f>
        <v>0.0</v>
      </c>
      <c r="G171" s="34" t="str">
        <f>IF(OR(A171="",$F$5&lt;=0),"",REPT("█",ROUND(20*F171/$F$5,0)))</f>
        <v/>
      </c>
      <c r="H171" s="31">
        <f>AL171+MIN(R170+AB171-AL171,MAX(0,ROUND(Долги!$D$19-SUM($AL171:$AU171),2)))</f>
        <v>0.0</v>
      </c>
      <c r="I171" s="31">
        <f>AM171+MIN(S170+AC171-AM171,MAX(0,ROUND(ROUND(Долги!$D$19-SUM($AL171:$AU171),2)-(SUM($H171:H171)-SUM($AL171:AL171)),2)))</f>
        <v>0.0</v>
      </c>
      <c r="J171" s="31">
        <f>AN171+MIN(T170+AD171-AN171,MAX(0,ROUND(ROUND(Долги!$D$19-SUM($AL171:$AU171),2)-(SUM($H171:I171)-SUM($AL171:AM171)),2)))</f>
        <v>0.0</v>
      </c>
      <c r="K171" s="31">
        <f>AO171+MIN(U170+AE171-AO171,MAX(0,ROUND(ROUND(Долги!$D$19-SUM($AL171:$AU171),2)-(SUM($H171:J171)-SUM($AL171:AN171)),2)))</f>
        <v>0.0</v>
      </c>
      <c r="L171" s="31">
        <f>AP171+MIN(V170+AF171-AP171,MAX(0,ROUND(ROUND(Долги!$D$19-SUM($AL171:$AU171),2)-(SUM($H171:K171)-SUM($AL171:AO171)),2)))</f>
        <v>0.0</v>
      </c>
      <c r="M171" s="31">
        <f>AQ171+MIN(W170+AG171-AQ171,MAX(0,ROUND(ROUND(Долги!$D$19-SUM($AL171:$AU171),2)-(SUM($H171:L171)-SUM($AL171:AP171)),2)))</f>
        <v>0.0</v>
      </c>
      <c r="N171" s="31">
        <f>AR171+MIN(X170+AH171-AR171,MAX(0,ROUND(ROUND(Долги!$D$19-SUM($AL171:$AU171),2)-(SUM($H171:M171)-SUM($AL171:AQ171)),2)))</f>
        <v>0.0</v>
      </c>
      <c r="O171" s="31">
        <f>AS171+MIN(Y170+AI171-AS171,MAX(0,ROUND(ROUND(Долги!$D$19-SUM($AL171:$AU171),2)-(SUM($H171:N171)-SUM($AL171:AR171)),2)))</f>
        <v>0.0</v>
      </c>
      <c r="P171" s="31">
        <f>AT171+MIN(Z170+AJ171-AT171,MAX(0,ROUND(ROUND(Долги!$D$19-SUM($AL171:$AU171),2)-(SUM($H171:O171)-SUM($AL171:AS171)),2)))</f>
        <v>0.0</v>
      </c>
      <c r="Q171" s="31">
        <f>AU171+MIN(AA170+AK171-AU171,MAX(0,ROUND(ROUND(Долги!$D$19-SUM($AL171:$AU171),2)-(SUM($H171:P171)-SUM($AL171:AT171)),2)))</f>
        <v>0.0</v>
      </c>
      <c r="R171" s="31">
        <f>IF(R170+AB171-H171&lt;=0.01,0,ROUND(R170+AB171-H171,2))</f>
        <v>0.0</v>
      </c>
      <c r="S171" s="31">
        <f>IF(S170+AC171-I171&lt;=0.01,0,ROUND(S170+AC171-I171,2))</f>
        <v>0.0</v>
      </c>
      <c r="T171" s="31">
        <f>IF(T170+AD171-J171&lt;=0.01,0,ROUND(T170+AD171-J171,2))</f>
        <v>0.0</v>
      </c>
      <c r="U171" s="31">
        <f>IF(U170+AE171-K171&lt;=0.01,0,ROUND(U170+AE171-K171,2))</f>
        <v>0.0</v>
      </c>
      <c r="V171" s="31">
        <f>IF(V170+AF171-L171&lt;=0.01,0,ROUND(V170+AF171-L171,2))</f>
        <v>0.0</v>
      </c>
      <c r="W171" s="31">
        <f>IF(W170+AG171-M171&lt;=0.01,0,ROUND(W170+AG171-M171,2))</f>
        <v>0.0</v>
      </c>
      <c r="X171" s="31">
        <f>IF(X170+AH171-N171&lt;=0.01,0,ROUND(X170+AH171-N171,2))</f>
        <v>0.0</v>
      </c>
      <c r="Y171" s="31">
        <f>IF(Y170+AI171-O171&lt;=0.01,0,ROUND(Y170+AI171-O171,2))</f>
        <v>0.0</v>
      </c>
      <c r="Z171" s="31">
        <f>IF(Z170+AJ171-P171&lt;=0.01,0,ROUND(Z170+AJ171-P171,2))</f>
        <v>0.0</v>
      </c>
      <c r="AA171" s="31">
        <f>IF(AA170+AK171-Q171&lt;=0.01,0,ROUND(AA170+AK171-Q171,2))</f>
        <v>0.0</v>
      </c>
      <c r="AB171" s="31">
        <f>ROUND(R170*AB$5/1200,2)</f>
        <v>0.0</v>
      </c>
      <c r="AC171" s="31">
        <f>ROUND(S170*AC$5/1200,2)</f>
        <v>0.0</v>
      </c>
      <c r="AD171" s="31">
        <f>ROUND(T170*AD$5/1200,2)</f>
        <v>0.0</v>
      </c>
      <c r="AE171" s="31">
        <f>ROUND(U170*AE$5/1200,2)</f>
        <v>0.0</v>
      </c>
      <c r="AF171" s="31">
        <f>ROUND(V170*AF$5/1200,2)</f>
        <v>0.0</v>
      </c>
      <c r="AG171" s="31">
        <f>ROUND(W170*AG$5/1200,2)</f>
        <v>0.0</v>
      </c>
      <c r="AH171" s="31">
        <f>ROUND(X170*AH$5/1200,2)</f>
        <v>0.0</v>
      </c>
      <c r="AI171" s="31">
        <f>ROUND(Y170*AI$5/1200,2)</f>
        <v>0.0</v>
      </c>
      <c r="AJ171" s="31">
        <f>ROUND(Z170*AJ$5/1200,2)</f>
        <v>0.0</v>
      </c>
      <c r="AK171" s="31">
        <f>ROUND(AA170*AK$5/1200,2)</f>
        <v>0.0</v>
      </c>
      <c r="AL171" s="31">
        <f>MIN(AL$5,R170+AB171)</f>
        <v>0.0</v>
      </c>
      <c r="AM171" s="31">
        <f>MIN(AM$5,S170+AC171)</f>
        <v>0.0</v>
      </c>
      <c r="AN171" s="31">
        <f>MIN(AN$5,T170+AD171)</f>
        <v>0.0</v>
      </c>
      <c r="AO171" s="31">
        <f>MIN(AO$5,U170+AE171)</f>
        <v>0.0</v>
      </c>
      <c r="AP171" s="31">
        <f>MIN(AP$5,V170+AF171)</f>
        <v>0.0</v>
      </c>
      <c r="AQ171" s="31">
        <f>MIN(AQ$5,W170+AG171)</f>
        <v>0.0</v>
      </c>
      <c r="AR171" s="31">
        <f>MIN(AR$5,X170+AH171)</f>
        <v>0.0</v>
      </c>
      <c r="AS171" s="31">
        <f>MIN(AS$5,Y170+AI171)</f>
        <v>0.0</v>
      </c>
      <c r="AT171" s="31">
        <f>MIN(AT$5,Z170+AJ171)</f>
        <v>0.0</v>
      </c>
      <c r="AU171" s="31">
        <f>MIN(AU$5,AA170+AK171)</f>
        <v>0.0</v>
      </c>
    </row>
    <row r="172">
      <c r="A172" s="25" t="str">
        <f>IF(F171&gt;0.005,167,"")</f>
        <v/>
      </c>
      <c r="B172" s="33" t="str">
        <f>IF(A172="","",EDATE(Долги!$D$5,166))</f>
        <v/>
      </c>
      <c r="C172" s="31">
        <f>SUM(H172:Q172)</f>
        <v>0.0</v>
      </c>
      <c r="D172" s="31">
        <f>SUM(AB172:AK172)</f>
        <v>0.0</v>
      </c>
      <c r="E172" s="31">
        <f>C172-D172</f>
        <v>0.0</v>
      </c>
      <c r="F172" s="31">
        <f>SUM(R172:AA172)</f>
        <v>0.0</v>
      </c>
      <c r="G172" s="34" t="str">
        <f>IF(OR(A172="",$F$5&lt;=0),"",REPT("█",ROUND(20*F172/$F$5,0)))</f>
        <v/>
      </c>
      <c r="H172" s="31">
        <f>AL172+MIN(R171+AB172-AL172,MAX(0,ROUND(Долги!$D$19-SUM($AL172:$AU172),2)))</f>
        <v>0.0</v>
      </c>
      <c r="I172" s="31">
        <f>AM172+MIN(S171+AC172-AM172,MAX(0,ROUND(ROUND(Долги!$D$19-SUM($AL172:$AU172),2)-(SUM($H172:H172)-SUM($AL172:AL172)),2)))</f>
        <v>0.0</v>
      </c>
      <c r="J172" s="31">
        <f>AN172+MIN(T171+AD172-AN172,MAX(0,ROUND(ROUND(Долги!$D$19-SUM($AL172:$AU172),2)-(SUM($H172:I172)-SUM($AL172:AM172)),2)))</f>
        <v>0.0</v>
      </c>
      <c r="K172" s="31">
        <f>AO172+MIN(U171+AE172-AO172,MAX(0,ROUND(ROUND(Долги!$D$19-SUM($AL172:$AU172),2)-(SUM($H172:J172)-SUM($AL172:AN172)),2)))</f>
        <v>0.0</v>
      </c>
      <c r="L172" s="31">
        <f>AP172+MIN(V171+AF172-AP172,MAX(0,ROUND(ROUND(Долги!$D$19-SUM($AL172:$AU172),2)-(SUM($H172:K172)-SUM($AL172:AO172)),2)))</f>
        <v>0.0</v>
      </c>
      <c r="M172" s="31">
        <f>AQ172+MIN(W171+AG172-AQ172,MAX(0,ROUND(ROUND(Долги!$D$19-SUM($AL172:$AU172),2)-(SUM($H172:L172)-SUM($AL172:AP172)),2)))</f>
        <v>0.0</v>
      </c>
      <c r="N172" s="31">
        <f>AR172+MIN(X171+AH172-AR172,MAX(0,ROUND(ROUND(Долги!$D$19-SUM($AL172:$AU172),2)-(SUM($H172:M172)-SUM($AL172:AQ172)),2)))</f>
        <v>0.0</v>
      </c>
      <c r="O172" s="31">
        <f>AS172+MIN(Y171+AI172-AS172,MAX(0,ROUND(ROUND(Долги!$D$19-SUM($AL172:$AU172),2)-(SUM($H172:N172)-SUM($AL172:AR172)),2)))</f>
        <v>0.0</v>
      </c>
      <c r="P172" s="31">
        <f>AT172+MIN(Z171+AJ172-AT172,MAX(0,ROUND(ROUND(Долги!$D$19-SUM($AL172:$AU172),2)-(SUM($H172:O172)-SUM($AL172:AS172)),2)))</f>
        <v>0.0</v>
      </c>
      <c r="Q172" s="31">
        <f>AU172+MIN(AA171+AK172-AU172,MAX(0,ROUND(ROUND(Долги!$D$19-SUM($AL172:$AU172),2)-(SUM($H172:P172)-SUM($AL172:AT172)),2)))</f>
        <v>0.0</v>
      </c>
      <c r="R172" s="31">
        <f>IF(R171+AB172-H172&lt;=0.01,0,ROUND(R171+AB172-H172,2))</f>
        <v>0.0</v>
      </c>
      <c r="S172" s="31">
        <f>IF(S171+AC172-I172&lt;=0.01,0,ROUND(S171+AC172-I172,2))</f>
        <v>0.0</v>
      </c>
      <c r="T172" s="31">
        <f>IF(T171+AD172-J172&lt;=0.01,0,ROUND(T171+AD172-J172,2))</f>
        <v>0.0</v>
      </c>
      <c r="U172" s="31">
        <f>IF(U171+AE172-K172&lt;=0.01,0,ROUND(U171+AE172-K172,2))</f>
        <v>0.0</v>
      </c>
      <c r="V172" s="31">
        <f>IF(V171+AF172-L172&lt;=0.01,0,ROUND(V171+AF172-L172,2))</f>
        <v>0.0</v>
      </c>
      <c r="W172" s="31">
        <f>IF(W171+AG172-M172&lt;=0.01,0,ROUND(W171+AG172-M172,2))</f>
        <v>0.0</v>
      </c>
      <c r="X172" s="31">
        <f>IF(X171+AH172-N172&lt;=0.01,0,ROUND(X171+AH172-N172,2))</f>
        <v>0.0</v>
      </c>
      <c r="Y172" s="31">
        <f>IF(Y171+AI172-O172&lt;=0.01,0,ROUND(Y171+AI172-O172,2))</f>
        <v>0.0</v>
      </c>
      <c r="Z172" s="31">
        <f>IF(Z171+AJ172-P172&lt;=0.01,0,ROUND(Z171+AJ172-P172,2))</f>
        <v>0.0</v>
      </c>
      <c r="AA172" s="31">
        <f>IF(AA171+AK172-Q172&lt;=0.01,0,ROUND(AA171+AK172-Q172,2))</f>
        <v>0.0</v>
      </c>
      <c r="AB172" s="31">
        <f>ROUND(R171*AB$5/1200,2)</f>
        <v>0.0</v>
      </c>
      <c r="AC172" s="31">
        <f>ROUND(S171*AC$5/1200,2)</f>
        <v>0.0</v>
      </c>
      <c r="AD172" s="31">
        <f>ROUND(T171*AD$5/1200,2)</f>
        <v>0.0</v>
      </c>
      <c r="AE172" s="31">
        <f>ROUND(U171*AE$5/1200,2)</f>
        <v>0.0</v>
      </c>
      <c r="AF172" s="31">
        <f>ROUND(V171*AF$5/1200,2)</f>
        <v>0.0</v>
      </c>
      <c r="AG172" s="31">
        <f>ROUND(W171*AG$5/1200,2)</f>
        <v>0.0</v>
      </c>
      <c r="AH172" s="31">
        <f>ROUND(X171*AH$5/1200,2)</f>
        <v>0.0</v>
      </c>
      <c r="AI172" s="31">
        <f>ROUND(Y171*AI$5/1200,2)</f>
        <v>0.0</v>
      </c>
      <c r="AJ172" s="31">
        <f>ROUND(Z171*AJ$5/1200,2)</f>
        <v>0.0</v>
      </c>
      <c r="AK172" s="31">
        <f>ROUND(AA171*AK$5/1200,2)</f>
        <v>0.0</v>
      </c>
      <c r="AL172" s="31">
        <f>MIN(AL$5,R171+AB172)</f>
        <v>0.0</v>
      </c>
      <c r="AM172" s="31">
        <f>MIN(AM$5,S171+AC172)</f>
        <v>0.0</v>
      </c>
      <c r="AN172" s="31">
        <f>MIN(AN$5,T171+AD172)</f>
        <v>0.0</v>
      </c>
      <c r="AO172" s="31">
        <f>MIN(AO$5,U171+AE172)</f>
        <v>0.0</v>
      </c>
      <c r="AP172" s="31">
        <f>MIN(AP$5,V171+AF172)</f>
        <v>0.0</v>
      </c>
      <c r="AQ172" s="31">
        <f>MIN(AQ$5,W171+AG172)</f>
        <v>0.0</v>
      </c>
      <c r="AR172" s="31">
        <f>MIN(AR$5,X171+AH172)</f>
        <v>0.0</v>
      </c>
      <c r="AS172" s="31">
        <f>MIN(AS$5,Y171+AI172)</f>
        <v>0.0</v>
      </c>
      <c r="AT172" s="31">
        <f>MIN(AT$5,Z171+AJ172)</f>
        <v>0.0</v>
      </c>
      <c r="AU172" s="31">
        <f>MIN(AU$5,AA171+AK172)</f>
        <v>0.0</v>
      </c>
    </row>
    <row r="173">
      <c r="A173" s="25" t="str">
        <f>IF(F172&gt;0.005,168,"")</f>
        <v/>
      </c>
      <c r="B173" s="33" t="str">
        <f>IF(A173="","",EDATE(Долги!$D$5,167))</f>
        <v/>
      </c>
      <c r="C173" s="31">
        <f>SUM(H173:Q173)</f>
        <v>0.0</v>
      </c>
      <c r="D173" s="31">
        <f>SUM(AB173:AK173)</f>
        <v>0.0</v>
      </c>
      <c r="E173" s="31">
        <f>C173-D173</f>
        <v>0.0</v>
      </c>
      <c r="F173" s="31">
        <f>SUM(R173:AA173)</f>
        <v>0.0</v>
      </c>
      <c r="G173" s="34" t="str">
        <f>IF(OR(A173="",$F$5&lt;=0),"",REPT("█",ROUND(20*F173/$F$5,0)))</f>
        <v/>
      </c>
      <c r="H173" s="31">
        <f>AL173+MIN(R172+AB173-AL173,MAX(0,ROUND(Долги!$D$19-SUM($AL173:$AU173),2)))</f>
        <v>0.0</v>
      </c>
      <c r="I173" s="31">
        <f>AM173+MIN(S172+AC173-AM173,MAX(0,ROUND(ROUND(Долги!$D$19-SUM($AL173:$AU173),2)-(SUM($H173:H173)-SUM($AL173:AL173)),2)))</f>
        <v>0.0</v>
      </c>
      <c r="J173" s="31">
        <f>AN173+MIN(T172+AD173-AN173,MAX(0,ROUND(ROUND(Долги!$D$19-SUM($AL173:$AU173),2)-(SUM($H173:I173)-SUM($AL173:AM173)),2)))</f>
        <v>0.0</v>
      </c>
      <c r="K173" s="31">
        <f>AO173+MIN(U172+AE173-AO173,MAX(0,ROUND(ROUND(Долги!$D$19-SUM($AL173:$AU173),2)-(SUM($H173:J173)-SUM($AL173:AN173)),2)))</f>
        <v>0.0</v>
      </c>
      <c r="L173" s="31">
        <f>AP173+MIN(V172+AF173-AP173,MAX(0,ROUND(ROUND(Долги!$D$19-SUM($AL173:$AU173),2)-(SUM($H173:K173)-SUM($AL173:AO173)),2)))</f>
        <v>0.0</v>
      </c>
      <c r="M173" s="31">
        <f>AQ173+MIN(W172+AG173-AQ173,MAX(0,ROUND(ROUND(Долги!$D$19-SUM($AL173:$AU173),2)-(SUM($H173:L173)-SUM($AL173:AP173)),2)))</f>
        <v>0.0</v>
      </c>
      <c r="N173" s="31">
        <f>AR173+MIN(X172+AH173-AR173,MAX(0,ROUND(ROUND(Долги!$D$19-SUM($AL173:$AU173),2)-(SUM($H173:M173)-SUM($AL173:AQ173)),2)))</f>
        <v>0.0</v>
      </c>
      <c r="O173" s="31">
        <f>AS173+MIN(Y172+AI173-AS173,MAX(0,ROUND(ROUND(Долги!$D$19-SUM($AL173:$AU173),2)-(SUM($H173:N173)-SUM($AL173:AR173)),2)))</f>
        <v>0.0</v>
      </c>
      <c r="P173" s="31">
        <f>AT173+MIN(Z172+AJ173-AT173,MAX(0,ROUND(ROUND(Долги!$D$19-SUM($AL173:$AU173),2)-(SUM($H173:O173)-SUM($AL173:AS173)),2)))</f>
        <v>0.0</v>
      </c>
      <c r="Q173" s="31">
        <f>AU173+MIN(AA172+AK173-AU173,MAX(0,ROUND(ROUND(Долги!$D$19-SUM($AL173:$AU173),2)-(SUM($H173:P173)-SUM($AL173:AT173)),2)))</f>
        <v>0.0</v>
      </c>
      <c r="R173" s="31">
        <f>IF(R172+AB173-H173&lt;=0.01,0,ROUND(R172+AB173-H173,2))</f>
        <v>0.0</v>
      </c>
      <c r="S173" s="31">
        <f>IF(S172+AC173-I173&lt;=0.01,0,ROUND(S172+AC173-I173,2))</f>
        <v>0.0</v>
      </c>
      <c r="T173" s="31">
        <f>IF(T172+AD173-J173&lt;=0.01,0,ROUND(T172+AD173-J173,2))</f>
        <v>0.0</v>
      </c>
      <c r="U173" s="31">
        <f>IF(U172+AE173-K173&lt;=0.01,0,ROUND(U172+AE173-K173,2))</f>
        <v>0.0</v>
      </c>
      <c r="V173" s="31">
        <f>IF(V172+AF173-L173&lt;=0.01,0,ROUND(V172+AF173-L173,2))</f>
        <v>0.0</v>
      </c>
      <c r="W173" s="31">
        <f>IF(W172+AG173-M173&lt;=0.01,0,ROUND(W172+AG173-M173,2))</f>
        <v>0.0</v>
      </c>
      <c r="X173" s="31">
        <f>IF(X172+AH173-N173&lt;=0.01,0,ROUND(X172+AH173-N173,2))</f>
        <v>0.0</v>
      </c>
      <c r="Y173" s="31">
        <f>IF(Y172+AI173-O173&lt;=0.01,0,ROUND(Y172+AI173-O173,2))</f>
        <v>0.0</v>
      </c>
      <c r="Z173" s="31">
        <f>IF(Z172+AJ173-P173&lt;=0.01,0,ROUND(Z172+AJ173-P173,2))</f>
        <v>0.0</v>
      </c>
      <c r="AA173" s="31">
        <f>IF(AA172+AK173-Q173&lt;=0.01,0,ROUND(AA172+AK173-Q173,2))</f>
        <v>0.0</v>
      </c>
      <c r="AB173" s="31">
        <f>ROUND(R172*AB$5/1200,2)</f>
        <v>0.0</v>
      </c>
      <c r="AC173" s="31">
        <f>ROUND(S172*AC$5/1200,2)</f>
        <v>0.0</v>
      </c>
      <c r="AD173" s="31">
        <f>ROUND(T172*AD$5/1200,2)</f>
        <v>0.0</v>
      </c>
      <c r="AE173" s="31">
        <f>ROUND(U172*AE$5/1200,2)</f>
        <v>0.0</v>
      </c>
      <c r="AF173" s="31">
        <f>ROUND(V172*AF$5/1200,2)</f>
        <v>0.0</v>
      </c>
      <c r="AG173" s="31">
        <f>ROUND(W172*AG$5/1200,2)</f>
        <v>0.0</v>
      </c>
      <c r="AH173" s="31">
        <f>ROUND(X172*AH$5/1200,2)</f>
        <v>0.0</v>
      </c>
      <c r="AI173" s="31">
        <f>ROUND(Y172*AI$5/1200,2)</f>
        <v>0.0</v>
      </c>
      <c r="AJ173" s="31">
        <f>ROUND(Z172*AJ$5/1200,2)</f>
        <v>0.0</v>
      </c>
      <c r="AK173" s="31">
        <f>ROUND(AA172*AK$5/1200,2)</f>
        <v>0.0</v>
      </c>
      <c r="AL173" s="31">
        <f>MIN(AL$5,R172+AB173)</f>
        <v>0.0</v>
      </c>
      <c r="AM173" s="31">
        <f>MIN(AM$5,S172+AC173)</f>
        <v>0.0</v>
      </c>
      <c r="AN173" s="31">
        <f>MIN(AN$5,T172+AD173)</f>
        <v>0.0</v>
      </c>
      <c r="AO173" s="31">
        <f>MIN(AO$5,U172+AE173)</f>
        <v>0.0</v>
      </c>
      <c r="AP173" s="31">
        <f>MIN(AP$5,V172+AF173)</f>
        <v>0.0</v>
      </c>
      <c r="AQ173" s="31">
        <f>MIN(AQ$5,W172+AG173)</f>
        <v>0.0</v>
      </c>
      <c r="AR173" s="31">
        <f>MIN(AR$5,X172+AH173)</f>
        <v>0.0</v>
      </c>
      <c r="AS173" s="31">
        <f>MIN(AS$5,Y172+AI173)</f>
        <v>0.0</v>
      </c>
      <c r="AT173" s="31">
        <f>MIN(AT$5,Z172+AJ173)</f>
        <v>0.0</v>
      </c>
      <c r="AU173" s="31">
        <f>MIN(AU$5,AA172+AK173)</f>
        <v>0.0</v>
      </c>
    </row>
    <row r="174">
      <c r="A174" s="25" t="str">
        <f>IF(F173&gt;0.005,169,"")</f>
        <v/>
      </c>
      <c r="B174" s="33" t="str">
        <f>IF(A174="","",EDATE(Долги!$D$5,168))</f>
        <v/>
      </c>
      <c r="C174" s="31">
        <f>SUM(H174:Q174)</f>
        <v>0.0</v>
      </c>
      <c r="D174" s="31">
        <f>SUM(AB174:AK174)</f>
        <v>0.0</v>
      </c>
      <c r="E174" s="31">
        <f>C174-D174</f>
        <v>0.0</v>
      </c>
      <c r="F174" s="31">
        <f>SUM(R174:AA174)</f>
        <v>0.0</v>
      </c>
      <c r="G174" s="34" t="str">
        <f>IF(OR(A174="",$F$5&lt;=0),"",REPT("█",ROUND(20*F174/$F$5,0)))</f>
        <v/>
      </c>
      <c r="H174" s="31">
        <f>AL174+MIN(R173+AB174-AL174,MAX(0,ROUND(Долги!$D$19-SUM($AL174:$AU174),2)))</f>
        <v>0.0</v>
      </c>
      <c r="I174" s="31">
        <f>AM174+MIN(S173+AC174-AM174,MAX(0,ROUND(ROUND(Долги!$D$19-SUM($AL174:$AU174),2)-(SUM($H174:H174)-SUM($AL174:AL174)),2)))</f>
        <v>0.0</v>
      </c>
      <c r="J174" s="31">
        <f>AN174+MIN(T173+AD174-AN174,MAX(0,ROUND(ROUND(Долги!$D$19-SUM($AL174:$AU174),2)-(SUM($H174:I174)-SUM($AL174:AM174)),2)))</f>
        <v>0.0</v>
      </c>
      <c r="K174" s="31">
        <f>AO174+MIN(U173+AE174-AO174,MAX(0,ROUND(ROUND(Долги!$D$19-SUM($AL174:$AU174),2)-(SUM($H174:J174)-SUM($AL174:AN174)),2)))</f>
        <v>0.0</v>
      </c>
      <c r="L174" s="31">
        <f>AP174+MIN(V173+AF174-AP174,MAX(0,ROUND(ROUND(Долги!$D$19-SUM($AL174:$AU174),2)-(SUM($H174:K174)-SUM($AL174:AO174)),2)))</f>
        <v>0.0</v>
      </c>
      <c r="M174" s="31">
        <f>AQ174+MIN(W173+AG174-AQ174,MAX(0,ROUND(ROUND(Долги!$D$19-SUM($AL174:$AU174),2)-(SUM($H174:L174)-SUM($AL174:AP174)),2)))</f>
        <v>0.0</v>
      </c>
      <c r="N174" s="31">
        <f>AR174+MIN(X173+AH174-AR174,MAX(0,ROUND(ROUND(Долги!$D$19-SUM($AL174:$AU174),2)-(SUM($H174:M174)-SUM($AL174:AQ174)),2)))</f>
        <v>0.0</v>
      </c>
      <c r="O174" s="31">
        <f>AS174+MIN(Y173+AI174-AS174,MAX(0,ROUND(ROUND(Долги!$D$19-SUM($AL174:$AU174),2)-(SUM($H174:N174)-SUM($AL174:AR174)),2)))</f>
        <v>0.0</v>
      </c>
      <c r="P174" s="31">
        <f>AT174+MIN(Z173+AJ174-AT174,MAX(0,ROUND(ROUND(Долги!$D$19-SUM($AL174:$AU174),2)-(SUM($H174:O174)-SUM($AL174:AS174)),2)))</f>
        <v>0.0</v>
      </c>
      <c r="Q174" s="31">
        <f>AU174+MIN(AA173+AK174-AU174,MAX(0,ROUND(ROUND(Долги!$D$19-SUM($AL174:$AU174),2)-(SUM($H174:P174)-SUM($AL174:AT174)),2)))</f>
        <v>0.0</v>
      </c>
      <c r="R174" s="31">
        <f>IF(R173+AB174-H174&lt;=0.01,0,ROUND(R173+AB174-H174,2))</f>
        <v>0.0</v>
      </c>
      <c r="S174" s="31">
        <f>IF(S173+AC174-I174&lt;=0.01,0,ROUND(S173+AC174-I174,2))</f>
        <v>0.0</v>
      </c>
      <c r="T174" s="31">
        <f>IF(T173+AD174-J174&lt;=0.01,0,ROUND(T173+AD174-J174,2))</f>
        <v>0.0</v>
      </c>
      <c r="U174" s="31">
        <f>IF(U173+AE174-K174&lt;=0.01,0,ROUND(U173+AE174-K174,2))</f>
        <v>0.0</v>
      </c>
      <c r="V174" s="31">
        <f>IF(V173+AF174-L174&lt;=0.01,0,ROUND(V173+AF174-L174,2))</f>
        <v>0.0</v>
      </c>
      <c r="W174" s="31">
        <f>IF(W173+AG174-M174&lt;=0.01,0,ROUND(W173+AG174-M174,2))</f>
        <v>0.0</v>
      </c>
      <c r="X174" s="31">
        <f>IF(X173+AH174-N174&lt;=0.01,0,ROUND(X173+AH174-N174,2))</f>
        <v>0.0</v>
      </c>
      <c r="Y174" s="31">
        <f>IF(Y173+AI174-O174&lt;=0.01,0,ROUND(Y173+AI174-O174,2))</f>
        <v>0.0</v>
      </c>
      <c r="Z174" s="31">
        <f>IF(Z173+AJ174-P174&lt;=0.01,0,ROUND(Z173+AJ174-P174,2))</f>
        <v>0.0</v>
      </c>
      <c r="AA174" s="31">
        <f>IF(AA173+AK174-Q174&lt;=0.01,0,ROUND(AA173+AK174-Q174,2))</f>
        <v>0.0</v>
      </c>
      <c r="AB174" s="31">
        <f>ROUND(R173*AB$5/1200,2)</f>
        <v>0.0</v>
      </c>
      <c r="AC174" s="31">
        <f>ROUND(S173*AC$5/1200,2)</f>
        <v>0.0</v>
      </c>
      <c r="AD174" s="31">
        <f>ROUND(T173*AD$5/1200,2)</f>
        <v>0.0</v>
      </c>
      <c r="AE174" s="31">
        <f>ROUND(U173*AE$5/1200,2)</f>
        <v>0.0</v>
      </c>
      <c r="AF174" s="31">
        <f>ROUND(V173*AF$5/1200,2)</f>
        <v>0.0</v>
      </c>
      <c r="AG174" s="31">
        <f>ROUND(W173*AG$5/1200,2)</f>
        <v>0.0</v>
      </c>
      <c r="AH174" s="31">
        <f>ROUND(X173*AH$5/1200,2)</f>
        <v>0.0</v>
      </c>
      <c r="AI174" s="31">
        <f>ROUND(Y173*AI$5/1200,2)</f>
        <v>0.0</v>
      </c>
      <c r="AJ174" s="31">
        <f>ROUND(Z173*AJ$5/1200,2)</f>
        <v>0.0</v>
      </c>
      <c r="AK174" s="31">
        <f>ROUND(AA173*AK$5/1200,2)</f>
        <v>0.0</v>
      </c>
      <c r="AL174" s="31">
        <f>MIN(AL$5,R173+AB174)</f>
        <v>0.0</v>
      </c>
      <c r="AM174" s="31">
        <f>MIN(AM$5,S173+AC174)</f>
        <v>0.0</v>
      </c>
      <c r="AN174" s="31">
        <f>MIN(AN$5,T173+AD174)</f>
        <v>0.0</v>
      </c>
      <c r="AO174" s="31">
        <f>MIN(AO$5,U173+AE174)</f>
        <v>0.0</v>
      </c>
      <c r="AP174" s="31">
        <f>MIN(AP$5,V173+AF174)</f>
        <v>0.0</v>
      </c>
      <c r="AQ174" s="31">
        <f>MIN(AQ$5,W173+AG174)</f>
        <v>0.0</v>
      </c>
      <c r="AR174" s="31">
        <f>MIN(AR$5,X173+AH174)</f>
        <v>0.0</v>
      </c>
      <c r="AS174" s="31">
        <f>MIN(AS$5,Y173+AI174)</f>
        <v>0.0</v>
      </c>
      <c r="AT174" s="31">
        <f>MIN(AT$5,Z173+AJ174)</f>
        <v>0.0</v>
      </c>
      <c r="AU174" s="31">
        <f>MIN(AU$5,AA173+AK174)</f>
        <v>0.0</v>
      </c>
    </row>
    <row r="175">
      <c r="A175" s="25" t="str">
        <f>IF(F174&gt;0.005,170,"")</f>
        <v/>
      </c>
      <c r="B175" s="33" t="str">
        <f>IF(A175="","",EDATE(Долги!$D$5,169))</f>
        <v/>
      </c>
      <c r="C175" s="31">
        <f>SUM(H175:Q175)</f>
        <v>0.0</v>
      </c>
      <c r="D175" s="31">
        <f>SUM(AB175:AK175)</f>
        <v>0.0</v>
      </c>
      <c r="E175" s="31">
        <f>C175-D175</f>
        <v>0.0</v>
      </c>
      <c r="F175" s="31">
        <f>SUM(R175:AA175)</f>
        <v>0.0</v>
      </c>
      <c r="G175" s="34" t="str">
        <f>IF(OR(A175="",$F$5&lt;=0),"",REPT("█",ROUND(20*F175/$F$5,0)))</f>
        <v/>
      </c>
      <c r="H175" s="31">
        <f>AL175+MIN(R174+AB175-AL175,MAX(0,ROUND(Долги!$D$19-SUM($AL175:$AU175),2)))</f>
        <v>0.0</v>
      </c>
      <c r="I175" s="31">
        <f>AM175+MIN(S174+AC175-AM175,MAX(0,ROUND(ROUND(Долги!$D$19-SUM($AL175:$AU175),2)-(SUM($H175:H175)-SUM($AL175:AL175)),2)))</f>
        <v>0.0</v>
      </c>
      <c r="J175" s="31">
        <f>AN175+MIN(T174+AD175-AN175,MAX(0,ROUND(ROUND(Долги!$D$19-SUM($AL175:$AU175),2)-(SUM($H175:I175)-SUM($AL175:AM175)),2)))</f>
        <v>0.0</v>
      </c>
      <c r="K175" s="31">
        <f>AO175+MIN(U174+AE175-AO175,MAX(0,ROUND(ROUND(Долги!$D$19-SUM($AL175:$AU175),2)-(SUM($H175:J175)-SUM($AL175:AN175)),2)))</f>
        <v>0.0</v>
      </c>
      <c r="L175" s="31">
        <f>AP175+MIN(V174+AF175-AP175,MAX(0,ROUND(ROUND(Долги!$D$19-SUM($AL175:$AU175),2)-(SUM($H175:K175)-SUM($AL175:AO175)),2)))</f>
        <v>0.0</v>
      </c>
      <c r="M175" s="31">
        <f>AQ175+MIN(W174+AG175-AQ175,MAX(0,ROUND(ROUND(Долги!$D$19-SUM($AL175:$AU175),2)-(SUM($H175:L175)-SUM($AL175:AP175)),2)))</f>
        <v>0.0</v>
      </c>
      <c r="N175" s="31">
        <f>AR175+MIN(X174+AH175-AR175,MAX(0,ROUND(ROUND(Долги!$D$19-SUM($AL175:$AU175),2)-(SUM($H175:M175)-SUM($AL175:AQ175)),2)))</f>
        <v>0.0</v>
      </c>
      <c r="O175" s="31">
        <f>AS175+MIN(Y174+AI175-AS175,MAX(0,ROUND(ROUND(Долги!$D$19-SUM($AL175:$AU175),2)-(SUM($H175:N175)-SUM($AL175:AR175)),2)))</f>
        <v>0.0</v>
      </c>
      <c r="P175" s="31">
        <f>AT175+MIN(Z174+AJ175-AT175,MAX(0,ROUND(ROUND(Долги!$D$19-SUM($AL175:$AU175),2)-(SUM($H175:O175)-SUM($AL175:AS175)),2)))</f>
        <v>0.0</v>
      </c>
      <c r="Q175" s="31">
        <f>AU175+MIN(AA174+AK175-AU175,MAX(0,ROUND(ROUND(Долги!$D$19-SUM($AL175:$AU175),2)-(SUM($H175:P175)-SUM($AL175:AT175)),2)))</f>
        <v>0.0</v>
      </c>
      <c r="R175" s="31">
        <f>IF(R174+AB175-H175&lt;=0.01,0,ROUND(R174+AB175-H175,2))</f>
        <v>0.0</v>
      </c>
      <c r="S175" s="31">
        <f>IF(S174+AC175-I175&lt;=0.01,0,ROUND(S174+AC175-I175,2))</f>
        <v>0.0</v>
      </c>
      <c r="T175" s="31">
        <f>IF(T174+AD175-J175&lt;=0.01,0,ROUND(T174+AD175-J175,2))</f>
        <v>0.0</v>
      </c>
      <c r="U175" s="31">
        <f>IF(U174+AE175-K175&lt;=0.01,0,ROUND(U174+AE175-K175,2))</f>
        <v>0.0</v>
      </c>
      <c r="V175" s="31">
        <f>IF(V174+AF175-L175&lt;=0.01,0,ROUND(V174+AF175-L175,2))</f>
        <v>0.0</v>
      </c>
      <c r="W175" s="31">
        <f>IF(W174+AG175-M175&lt;=0.01,0,ROUND(W174+AG175-M175,2))</f>
        <v>0.0</v>
      </c>
      <c r="X175" s="31">
        <f>IF(X174+AH175-N175&lt;=0.01,0,ROUND(X174+AH175-N175,2))</f>
        <v>0.0</v>
      </c>
      <c r="Y175" s="31">
        <f>IF(Y174+AI175-O175&lt;=0.01,0,ROUND(Y174+AI175-O175,2))</f>
        <v>0.0</v>
      </c>
      <c r="Z175" s="31">
        <f>IF(Z174+AJ175-P175&lt;=0.01,0,ROUND(Z174+AJ175-P175,2))</f>
        <v>0.0</v>
      </c>
      <c r="AA175" s="31">
        <f>IF(AA174+AK175-Q175&lt;=0.01,0,ROUND(AA174+AK175-Q175,2))</f>
        <v>0.0</v>
      </c>
      <c r="AB175" s="31">
        <f>ROUND(R174*AB$5/1200,2)</f>
        <v>0.0</v>
      </c>
      <c r="AC175" s="31">
        <f>ROUND(S174*AC$5/1200,2)</f>
        <v>0.0</v>
      </c>
      <c r="AD175" s="31">
        <f>ROUND(T174*AD$5/1200,2)</f>
        <v>0.0</v>
      </c>
      <c r="AE175" s="31">
        <f>ROUND(U174*AE$5/1200,2)</f>
        <v>0.0</v>
      </c>
      <c r="AF175" s="31">
        <f>ROUND(V174*AF$5/1200,2)</f>
        <v>0.0</v>
      </c>
      <c r="AG175" s="31">
        <f>ROUND(W174*AG$5/1200,2)</f>
        <v>0.0</v>
      </c>
      <c r="AH175" s="31">
        <f>ROUND(X174*AH$5/1200,2)</f>
        <v>0.0</v>
      </c>
      <c r="AI175" s="31">
        <f>ROUND(Y174*AI$5/1200,2)</f>
        <v>0.0</v>
      </c>
      <c r="AJ175" s="31">
        <f>ROUND(Z174*AJ$5/1200,2)</f>
        <v>0.0</v>
      </c>
      <c r="AK175" s="31">
        <f>ROUND(AA174*AK$5/1200,2)</f>
        <v>0.0</v>
      </c>
      <c r="AL175" s="31">
        <f>MIN(AL$5,R174+AB175)</f>
        <v>0.0</v>
      </c>
      <c r="AM175" s="31">
        <f>MIN(AM$5,S174+AC175)</f>
        <v>0.0</v>
      </c>
      <c r="AN175" s="31">
        <f>MIN(AN$5,T174+AD175)</f>
        <v>0.0</v>
      </c>
      <c r="AO175" s="31">
        <f>MIN(AO$5,U174+AE175)</f>
        <v>0.0</v>
      </c>
      <c r="AP175" s="31">
        <f>MIN(AP$5,V174+AF175)</f>
        <v>0.0</v>
      </c>
      <c r="AQ175" s="31">
        <f>MIN(AQ$5,W174+AG175)</f>
        <v>0.0</v>
      </c>
      <c r="AR175" s="31">
        <f>MIN(AR$5,X174+AH175)</f>
        <v>0.0</v>
      </c>
      <c r="AS175" s="31">
        <f>MIN(AS$5,Y174+AI175)</f>
        <v>0.0</v>
      </c>
      <c r="AT175" s="31">
        <f>MIN(AT$5,Z174+AJ175)</f>
        <v>0.0</v>
      </c>
      <c r="AU175" s="31">
        <f>MIN(AU$5,AA174+AK175)</f>
        <v>0.0</v>
      </c>
    </row>
    <row r="176">
      <c r="A176" s="25" t="str">
        <f>IF(F175&gt;0.005,171,"")</f>
        <v/>
      </c>
      <c r="B176" s="33" t="str">
        <f>IF(A176="","",EDATE(Долги!$D$5,170))</f>
        <v/>
      </c>
      <c r="C176" s="31">
        <f>SUM(H176:Q176)</f>
        <v>0.0</v>
      </c>
      <c r="D176" s="31">
        <f>SUM(AB176:AK176)</f>
        <v>0.0</v>
      </c>
      <c r="E176" s="31">
        <f>C176-D176</f>
        <v>0.0</v>
      </c>
      <c r="F176" s="31">
        <f>SUM(R176:AA176)</f>
        <v>0.0</v>
      </c>
      <c r="G176" s="34" t="str">
        <f>IF(OR(A176="",$F$5&lt;=0),"",REPT("█",ROUND(20*F176/$F$5,0)))</f>
        <v/>
      </c>
      <c r="H176" s="31">
        <f>AL176+MIN(R175+AB176-AL176,MAX(0,ROUND(Долги!$D$19-SUM($AL176:$AU176),2)))</f>
        <v>0.0</v>
      </c>
      <c r="I176" s="31">
        <f>AM176+MIN(S175+AC176-AM176,MAX(0,ROUND(ROUND(Долги!$D$19-SUM($AL176:$AU176),2)-(SUM($H176:H176)-SUM($AL176:AL176)),2)))</f>
        <v>0.0</v>
      </c>
      <c r="J176" s="31">
        <f>AN176+MIN(T175+AD176-AN176,MAX(0,ROUND(ROUND(Долги!$D$19-SUM($AL176:$AU176),2)-(SUM($H176:I176)-SUM($AL176:AM176)),2)))</f>
        <v>0.0</v>
      </c>
      <c r="K176" s="31">
        <f>AO176+MIN(U175+AE176-AO176,MAX(0,ROUND(ROUND(Долги!$D$19-SUM($AL176:$AU176),2)-(SUM($H176:J176)-SUM($AL176:AN176)),2)))</f>
        <v>0.0</v>
      </c>
      <c r="L176" s="31">
        <f>AP176+MIN(V175+AF176-AP176,MAX(0,ROUND(ROUND(Долги!$D$19-SUM($AL176:$AU176),2)-(SUM($H176:K176)-SUM($AL176:AO176)),2)))</f>
        <v>0.0</v>
      </c>
      <c r="M176" s="31">
        <f>AQ176+MIN(W175+AG176-AQ176,MAX(0,ROUND(ROUND(Долги!$D$19-SUM($AL176:$AU176),2)-(SUM($H176:L176)-SUM($AL176:AP176)),2)))</f>
        <v>0.0</v>
      </c>
      <c r="N176" s="31">
        <f>AR176+MIN(X175+AH176-AR176,MAX(0,ROUND(ROUND(Долги!$D$19-SUM($AL176:$AU176),2)-(SUM($H176:M176)-SUM($AL176:AQ176)),2)))</f>
        <v>0.0</v>
      </c>
      <c r="O176" s="31">
        <f>AS176+MIN(Y175+AI176-AS176,MAX(0,ROUND(ROUND(Долги!$D$19-SUM($AL176:$AU176),2)-(SUM($H176:N176)-SUM($AL176:AR176)),2)))</f>
        <v>0.0</v>
      </c>
      <c r="P176" s="31">
        <f>AT176+MIN(Z175+AJ176-AT176,MAX(0,ROUND(ROUND(Долги!$D$19-SUM($AL176:$AU176),2)-(SUM($H176:O176)-SUM($AL176:AS176)),2)))</f>
        <v>0.0</v>
      </c>
      <c r="Q176" s="31">
        <f>AU176+MIN(AA175+AK176-AU176,MAX(0,ROUND(ROUND(Долги!$D$19-SUM($AL176:$AU176),2)-(SUM($H176:P176)-SUM($AL176:AT176)),2)))</f>
        <v>0.0</v>
      </c>
      <c r="R176" s="31">
        <f>IF(R175+AB176-H176&lt;=0.01,0,ROUND(R175+AB176-H176,2))</f>
        <v>0.0</v>
      </c>
      <c r="S176" s="31">
        <f>IF(S175+AC176-I176&lt;=0.01,0,ROUND(S175+AC176-I176,2))</f>
        <v>0.0</v>
      </c>
      <c r="T176" s="31">
        <f>IF(T175+AD176-J176&lt;=0.01,0,ROUND(T175+AD176-J176,2))</f>
        <v>0.0</v>
      </c>
      <c r="U176" s="31">
        <f>IF(U175+AE176-K176&lt;=0.01,0,ROUND(U175+AE176-K176,2))</f>
        <v>0.0</v>
      </c>
      <c r="V176" s="31">
        <f>IF(V175+AF176-L176&lt;=0.01,0,ROUND(V175+AF176-L176,2))</f>
        <v>0.0</v>
      </c>
      <c r="W176" s="31">
        <f>IF(W175+AG176-M176&lt;=0.01,0,ROUND(W175+AG176-M176,2))</f>
        <v>0.0</v>
      </c>
      <c r="X176" s="31">
        <f>IF(X175+AH176-N176&lt;=0.01,0,ROUND(X175+AH176-N176,2))</f>
        <v>0.0</v>
      </c>
      <c r="Y176" s="31">
        <f>IF(Y175+AI176-O176&lt;=0.01,0,ROUND(Y175+AI176-O176,2))</f>
        <v>0.0</v>
      </c>
      <c r="Z176" s="31">
        <f>IF(Z175+AJ176-P176&lt;=0.01,0,ROUND(Z175+AJ176-P176,2))</f>
        <v>0.0</v>
      </c>
      <c r="AA176" s="31">
        <f>IF(AA175+AK176-Q176&lt;=0.01,0,ROUND(AA175+AK176-Q176,2))</f>
        <v>0.0</v>
      </c>
      <c r="AB176" s="31">
        <f>ROUND(R175*AB$5/1200,2)</f>
        <v>0.0</v>
      </c>
      <c r="AC176" s="31">
        <f>ROUND(S175*AC$5/1200,2)</f>
        <v>0.0</v>
      </c>
      <c r="AD176" s="31">
        <f>ROUND(T175*AD$5/1200,2)</f>
        <v>0.0</v>
      </c>
      <c r="AE176" s="31">
        <f>ROUND(U175*AE$5/1200,2)</f>
        <v>0.0</v>
      </c>
      <c r="AF176" s="31">
        <f>ROUND(V175*AF$5/1200,2)</f>
        <v>0.0</v>
      </c>
      <c r="AG176" s="31">
        <f>ROUND(W175*AG$5/1200,2)</f>
        <v>0.0</v>
      </c>
      <c r="AH176" s="31">
        <f>ROUND(X175*AH$5/1200,2)</f>
        <v>0.0</v>
      </c>
      <c r="AI176" s="31">
        <f>ROUND(Y175*AI$5/1200,2)</f>
        <v>0.0</v>
      </c>
      <c r="AJ176" s="31">
        <f>ROUND(Z175*AJ$5/1200,2)</f>
        <v>0.0</v>
      </c>
      <c r="AK176" s="31">
        <f>ROUND(AA175*AK$5/1200,2)</f>
        <v>0.0</v>
      </c>
      <c r="AL176" s="31">
        <f>MIN(AL$5,R175+AB176)</f>
        <v>0.0</v>
      </c>
      <c r="AM176" s="31">
        <f>MIN(AM$5,S175+AC176)</f>
        <v>0.0</v>
      </c>
      <c r="AN176" s="31">
        <f>MIN(AN$5,T175+AD176)</f>
        <v>0.0</v>
      </c>
      <c r="AO176" s="31">
        <f>MIN(AO$5,U175+AE176)</f>
        <v>0.0</v>
      </c>
      <c r="AP176" s="31">
        <f>MIN(AP$5,V175+AF176)</f>
        <v>0.0</v>
      </c>
      <c r="AQ176" s="31">
        <f>MIN(AQ$5,W175+AG176)</f>
        <v>0.0</v>
      </c>
      <c r="AR176" s="31">
        <f>MIN(AR$5,X175+AH176)</f>
        <v>0.0</v>
      </c>
      <c r="AS176" s="31">
        <f>MIN(AS$5,Y175+AI176)</f>
        <v>0.0</v>
      </c>
      <c r="AT176" s="31">
        <f>MIN(AT$5,Z175+AJ176)</f>
        <v>0.0</v>
      </c>
      <c r="AU176" s="31">
        <f>MIN(AU$5,AA175+AK176)</f>
        <v>0.0</v>
      </c>
    </row>
    <row r="177">
      <c r="A177" s="25" t="str">
        <f>IF(F176&gt;0.005,172,"")</f>
        <v/>
      </c>
      <c r="B177" s="33" t="str">
        <f>IF(A177="","",EDATE(Долги!$D$5,171))</f>
        <v/>
      </c>
      <c r="C177" s="31">
        <f>SUM(H177:Q177)</f>
        <v>0.0</v>
      </c>
      <c r="D177" s="31">
        <f>SUM(AB177:AK177)</f>
        <v>0.0</v>
      </c>
      <c r="E177" s="31">
        <f>C177-D177</f>
        <v>0.0</v>
      </c>
      <c r="F177" s="31">
        <f>SUM(R177:AA177)</f>
        <v>0.0</v>
      </c>
      <c r="G177" s="34" t="str">
        <f>IF(OR(A177="",$F$5&lt;=0),"",REPT("█",ROUND(20*F177/$F$5,0)))</f>
        <v/>
      </c>
      <c r="H177" s="31">
        <f>AL177+MIN(R176+AB177-AL177,MAX(0,ROUND(Долги!$D$19-SUM($AL177:$AU177),2)))</f>
        <v>0.0</v>
      </c>
      <c r="I177" s="31">
        <f>AM177+MIN(S176+AC177-AM177,MAX(0,ROUND(ROUND(Долги!$D$19-SUM($AL177:$AU177),2)-(SUM($H177:H177)-SUM($AL177:AL177)),2)))</f>
        <v>0.0</v>
      </c>
      <c r="J177" s="31">
        <f>AN177+MIN(T176+AD177-AN177,MAX(0,ROUND(ROUND(Долги!$D$19-SUM($AL177:$AU177),2)-(SUM($H177:I177)-SUM($AL177:AM177)),2)))</f>
        <v>0.0</v>
      </c>
      <c r="K177" s="31">
        <f>AO177+MIN(U176+AE177-AO177,MAX(0,ROUND(ROUND(Долги!$D$19-SUM($AL177:$AU177),2)-(SUM($H177:J177)-SUM($AL177:AN177)),2)))</f>
        <v>0.0</v>
      </c>
      <c r="L177" s="31">
        <f>AP177+MIN(V176+AF177-AP177,MAX(0,ROUND(ROUND(Долги!$D$19-SUM($AL177:$AU177),2)-(SUM($H177:K177)-SUM($AL177:AO177)),2)))</f>
        <v>0.0</v>
      </c>
      <c r="M177" s="31">
        <f>AQ177+MIN(W176+AG177-AQ177,MAX(0,ROUND(ROUND(Долги!$D$19-SUM($AL177:$AU177),2)-(SUM($H177:L177)-SUM($AL177:AP177)),2)))</f>
        <v>0.0</v>
      </c>
      <c r="N177" s="31">
        <f>AR177+MIN(X176+AH177-AR177,MAX(0,ROUND(ROUND(Долги!$D$19-SUM($AL177:$AU177),2)-(SUM($H177:M177)-SUM($AL177:AQ177)),2)))</f>
        <v>0.0</v>
      </c>
      <c r="O177" s="31">
        <f>AS177+MIN(Y176+AI177-AS177,MAX(0,ROUND(ROUND(Долги!$D$19-SUM($AL177:$AU177),2)-(SUM($H177:N177)-SUM($AL177:AR177)),2)))</f>
        <v>0.0</v>
      </c>
      <c r="P177" s="31">
        <f>AT177+MIN(Z176+AJ177-AT177,MAX(0,ROUND(ROUND(Долги!$D$19-SUM($AL177:$AU177),2)-(SUM($H177:O177)-SUM($AL177:AS177)),2)))</f>
        <v>0.0</v>
      </c>
      <c r="Q177" s="31">
        <f>AU177+MIN(AA176+AK177-AU177,MAX(0,ROUND(ROUND(Долги!$D$19-SUM($AL177:$AU177),2)-(SUM($H177:P177)-SUM($AL177:AT177)),2)))</f>
        <v>0.0</v>
      </c>
      <c r="R177" s="31">
        <f>IF(R176+AB177-H177&lt;=0.01,0,ROUND(R176+AB177-H177,2))</f>
        <v>0.0</v>
      </c>
      <c r="S177" s="31">
        <f>IF(S176+AC177-I177&lt;=0.01,0,ROUND(S176+AC177-I177,2))</f>
        <v>0.0</v>
      </c>
      <c r="T177" s="31">
        <f>IF(T176+AD177-J177&lt;=0.01,0,ROUND(T176+AD177-J177,2))</f>
        <v>0.0</v>
      </c>
      <c r="U177" s="31">
        <f>IF(U176+AE177-K177&lt;=0.01,0,ROUND(U176+AE177-K177,2))</f>
        <v>0.0</v>
      </c>
      <c r="V177" s="31">
        <f>IF(V176+AF177-L177&lt;=0.01,0,ROUND(V176+AF177-L177,2))</f>
        <v>0.0</v>
      </c>
      <c r="W177" s="31">
        <f>IF(W176+AG177-M177&lt;=0.01,0,ROUND(W176+AG177-M177,2))</f>
        <v>0.0</v>
      </c>
      <c r="X177" s="31">
        <f>IF(X176+AH177-N177&lt;=0.01,0,ROUND(X176+AH177-N177,2))</f>
        <v>0.0</v>
      </c>
      <c r="Y177" s="31">
        <f>IF(Y176+AI177-O177&lt;=0.01,0,ROUND(Y176+AI177-O177,2))</f>
        <v>0.0</v>
      </c>
      <c r="Z177" s="31">
        <f>IF(Z176+AJ177-P177&lt;=0.01,0,ROUND(Z176+AJ177-P177,2))</f>
        <v>0.0</v>
      </c>
      <c r="AA177" s="31">
        <f>IF(AA176+AK177-Q177&lt;=0.01,0,ROUND(AA176+AK177-Q177,2))</f>
        <v>0.0</v>
      </c>
      <c r="AB177" s="31">
        <f>ROUND(R176*AB$5/1200,2)</f>
        <v>0.0</v>
      </c>
      <c r="AC177" s="31">
        <f>ROUND(S176*AC$5/1200,2)</f>
        <v>0.0</v>
      </c>
      <c r="AD177" s="31">
        <f>ROUND(T176*AD$5/1200,2)</f>
        <v>0.0</v>
      </c>
      <c r="AE177" s="31">
        <f>ROUND(U176*AE$5/1200,2)</f>
        <v>0.0</v>
      </c>
      <c r="AF177" s="31">
        <f>ROUND(V176*AF$5/1200,2)</f>
        <v>0.0</v>
      </c>
      <c r="AG177" s="31">
        <f>ROUND(W176*AG$5/1200,2)</f>
        <v>0.0</v>
      </c>
      <c r="AH177" s="31">
        <f>ROUND(X176*AH$5/1200,2)</f>
        <v>0.0</v>
      </c>
      <c r="AI177" s="31">
        <f>ROUND(Y176*AI$5/1200,2)</f>
        <v>0.0</v>
      </c>
      <c r="AJ177" s="31">
        <f>ROUND(Z176*AJ$5/1200,2)</f>
        <v>0.0</v>
      </c>
      <c r="AK177" s="31">
        <f>ROUND(AA176*AK$5/1200,2)</f>
        <v>0.0</v>
      </c>
      <c r="AL177" s="31">
        <f>MIN(AL$5,R176+AB177)</f>
        <v>0.0</v>
      </c>
      <c r="AM177" s="31">
        <f>MIN(AM$5,S176+AC177)</f>
        <v>0.0</v>
      </c>
      <c r="AN177" s="31">
        <f>MIN(AN$5,T176+AD177)</f>
        <v>0.0</v>
      </c>
      <c r="AO177" s="31">
        <f>MIN(AO$5,U176+AE177)</f>
        <v>0.0</v>
      </c>
      <c r="AP177" s="31">
        <f>MIN(AP$5,V176+AF177)</f>
        <v>0.0</v>
      </c>
      <c r="AQ177" s="31">
        <f>MIN(AQ$5,W176+AG177)</f>
        <v>0.0</v>
      </c>
      <c r="AR177" s="31">
        <f>MIN(AR$5,X176+AH177)</f>
        <v>0.0</v>
      </c>
      <c r="AS177" s="31">
        <f>MIN(AS$5,Y176+AI177)</f>
        <v>0.0</v>
      </c>
      <c r="AT177" s="31">
        <f>MIN(AT$5,Z176+AJ177)</f>
        <v>0.0</v>
      </c>
      <c r="AU177" s="31">
        <f>MIN(AU$5,AA176+AK177)</f>
        <v>0.0</v>
      </c>
    </row>
    <row r="178">
      <c r="A178" s="25" t="str">
        <f>IF(F177&gt;0.005,173,"")</f>
        <v/>
      </c>
      <c r="B178" s="33" t="str">
        <f>IF(A178="","",EDATE(Долги!$D$5,172))</f>
        <v/>
      </c>
      <c r="C178" s="31">
        <f>SUM(H178:Q178)</f>
        <v>0.0</v>
      </c>
      <c r="D178" s="31">
        <f>SUM(AB178:AK178)</f>
        <v>0.0</v>
      </c>
      <c r="E178" s="31">
        <f>C178-D178</f>
        <v>0.0</v>
      </c>
      <c r="F178" s="31">
        <f>SUM(R178:AA178)</f>
        <v>0.0</v>
      </c>
      <c r="G178" s="34" t="str">
        <f>IF(OR(A178="",$F$5&lt;=0),"",REPT("█",ROUND(20*F178/$F$5,0)))</f>
        <v/>
      </c>
      <c r="H178" s="31">
        <f>AL178+MIN(R177+AB178-AL178,MAX(0,ROUND(Долги!$D$19-SUM($AL178:$AU178),2)))</f>
        <v>0.0</v>
      </c>
      <c r="I178" s="31">
        <f>AM178+MIN(S177+AC178-AM178,MAX(0,ROUND(ROUND(Долги!$D$19-SUM($AL178:$AU178),2)-(SUM($H178:H178)-SUM($AL178:AL178)),2)))</f>
        <v>0.0</v>
      </c>
      <c r="J178" s="31">
        <f>AN178+MIN(T177+AD178-AN178,MAX(0,ROUND(ROUND(Долги!$D$19-SUM($AL178:$AU178),2)-(SUM($H178:I178)-SUM($AL178:AM178)),2)))</f>
        <v>0.0</v>
      </c>
      <c r="K178" s="31">
        <f>AO178+MIN(U177+AE178-AO178,MAX(0,ROUND(ROUND(Долги!$D$19-SUM($AL178:$AU178),2)-(SUM($H178:J178)-SUM($AL178:AN178)),2)))</f>
        <v>0.0</v>
      </c>
      <c r="L178" s="31">
        <f>AP178+MIN(V177+AF178-AP178,MAX(0,ROUND(ROUND(Долги!$D$19-SUM($AL178:$AU178),2)-(SUM($H178:K178)-SUM($AL178:AO178)),2)))</f>
        <v>0.0</v>
      </c>
      <c r="M178" s="31">
        <f>AQ178+MIN(W177+AG178-AQ178,MAX(0,ROUND(ROUND(Долги!$D$19-SUM($AL178:$AU178),2)-(SUM($H178:L178)-SUM($AL178:AP178)),2)))</f>
        <v>0.0</v>
      </c>
      <c r="N178" s="31">
        <f>AR178+MIN(X177+AH178-AR178,MAX(0,ROUND(ROUND(Долги!$D$19-SUM($AL178:$AU178),2)-(SUM($H178:M178)-SUM($AL178:AQ178)),2)))</f>
        <v>0.0</v>
      </c>
      <c r="O178" s="31">
        <f>AS178+MIN(Y177+AI178-AS178,MAX(0,ROUND(ROUND(Долги!$D$19-SUM($AL178:$AU178),2)-(SUM($H178:N178)-SUM($AL178:AR178)),2)))</f>
        <v>0.0</v>
      </c>
      <c r="P178" s="31">
        <f>AT178+MIN(Z177+AJ178-AT178,MAX(0,ROUND(ROUND(Долги!$D$19-SUM($AL178:$AU178),2)-(SUM($H178:O178)-SUM($AL178:AS178)),2)))</f>
        <v>0.0</v>
      </c>
      <c r="Q178" s="31">
        <f>AU178+MIN(AA177+AK178-AU178,MAX(0,ROUND(ROUND(Долги!$D$19-SUM($AL178:$AU178),2)-(SUM($H178:P178)-SUM($AL178:AT178)),2)))</f>
        <v>0.0</v>
      </c>
      <c r="R178" s="31">
        <f>IF(R177+AB178-H178&lt;=0.01,0,ROUND(R177+AB178-H178,2))</f>
        <v>0.0</v>
      </c>
      <c r="S178" s="31">
        <f>IF(S177+AC178-I178&lt;=0.01,0,ROUND(S177+AC178-I178,2))</f>
        <v>0.0</v>
      </c>
      <c r="T178" s="31">
        <f>IF(T177+AD178-J178&lt;=0.01,0,ROUND(T177+AD178-J178,2))</f>
        <v>0.0</v>
      </c>
      <c r="U178" s="31">
        <f>IF(U177+AE178-K178&lt;=0.01,0,ROUND(U177+AE178-K178,2))</f>
        <v>0.0</v>
      </c>
      <c r="V178" s="31">
        <f>IF(V177+AF178-L178&lt;=0.01,0,ROUND(V177+AF178-L178,2))</f>
        <v>0.0</v>
      </c>
      <c r="W178" s="31">
        <f>IF(W177+AG178-M178&lt;=0.01,0,ROUND(W177+AG178-M178,2))</f>
        <v>0.0</v>
      </c>
      <c r="X178" s="31">
        <f>IF(X177+AH178-N178&lt;=0.01,0,ROUND(X177+AH178-N178,2))</f>
        <v>0.0</v>
      </c>
      <c r="Y178" s="31">
        <f>IF(Y177+AI178-O178&lt;=0.01,0,ROUND(Y177+AI178-O178,2))</f>
        <v>0.0</v>
      </c>
      <c r="Z178" s="31">
        <f>IF(Z177+AJ178-P178&lt;=0.01,0,ROUND(Z177+AJ178-P178,2))</f>
        <v>0.0</v>
      </c>
      <c r="AA178" s="31">
        <f>IF(AA177+AK178-Q178&lt;=0.01,0,ROUND(AA177+AK178-Q178,2))</f>
        <v>0.0</v>
      </c>
      <c r="AB178" s="31">
        <f>ROUND(R177*AB$5/1200,2)</f>
        <v>0.0</v>
      </c>
      <c r="AC178" s="31">
        <f>ROUND(S177*AC$5/1200,2)</f>
        <v>0.0</v>
      </c>
      <c r="AD178" s="31">
        <f>ROUND(T177*AD$5/1200,2)</f>
        <v>0.0</v>
      </c>
      <c r="AE178" s="31">
        <f>ROUND(U177*AE$5/1200,2)</f>
        <v>0.0</v>
      </c>
      <c r="AF178" s="31">
        <f>ROUND(V177*AF$5/1200,2)</f>
        <v>0.0</v>
      </c>
      <c r="AG178" s="31">
        <f>ROUND(W177*AG$5/1200,2)</f>
        <v>0.0</v>
      </c>
      <c r="AH178" s="31">
        <f>ROUND(X177*AH$5/1200,2)</f>
        <v>0.0</v>
      </c>
      <c r="AI178" s="31">
        <f>ROUND(Y177*AI$5/1200,2)</f>
        <v>0.0</v>
      </c>
      <c r="AJ178" s="31">
        <f>ROUND(Z177*AJ$5/1200,2)</f>
        <v>0.0</v>
      </c>
      <c r="AK178" s="31">
        <f>ROUND(AA177*AK$5/1200,2)</f>
        <v>0.0</v>
      </c>
      <c r="AL178" s="31">
        <f>MIN(AL$5,R177+AB178)</f>
        <v>0.0</v>
      </c>
      <c r="AM178" s="31">
        <f>MIN(AM$5,S177+AC178)</f>
        <v>0.0</v>
      </c>
      <c r="AN178" s="31">
        <f>MIN(AN$5,T177+AD178)</f>
        <v>0.0</v>
      </c>
      <c r="AO178" s="31">
        <f>MIN(AO$5,U177+AE178)</f>
        <v>0.0</v>
      </c>
      <c r="AP178" s="31">
        <f>MIN(AP$5,V177+AF178)</f>
        <v>0.0</v>
      </c>
      <c r="AQ178" s="31">
        <f>MIN(AQ$5,W177+AG178)</f>
        <v>0.0</v>
      </c>
      <c r="AR178" s="31">
        <f>MIN(AR$5,X177+AH178)</f>
        <v>0.0</v>
      </c>
      <c r="AS178" s="31">
        <f>MIN(AS$5,Y177+AI178)</f>
        <v>0.0</v>
      </c>
      <c r="AT178" s="31">
        <f>MIN(AT$5,Z177+AJ178)</f>
        <v>0.0</v>
      </c>
      <c r="AU178" s="31">
        <f>MIN(AU$5,AA177+AK178)</f>
        <v>0.0</v>
      </c>
    </row>
    <row r="179">
      <c r="A179" s="25" t="str">
        <f>IF(F178&gt;0.005,174,"")</f>
        <v/>
      </c>
      <c r="B179" s="33" t="str">
        <f>IF(A179="","",EDATE(Долги!$D$5,173))</f>
        <v/>
      </c>
      <c r="C179" s="31">
        <f>SUM(H179:Q179)</f>
        <v>0.0</v>
      </c>
      <c r="D179" s="31">
        <f>SUM(AB179:AK179)</f>
        <v>0.0</v>
      </c>
      <c r="E179" s="31">
        <f>C179-D179</f>
        <v>0.0</v>
      </c>
      <c r="F179" s="31">
        <f>SUM(R179:AA179)</f>
        <v>0.0</v>
      </c>
      <c r="G179" s="34" t="str">
        <f>IF(OR(A179="",$F$5&lt;=0),"",REPT("█",ROUND(20*F179/$F$5,0)))</f>
        <v/>
      </c>
      <c r="H179" s="31">
        <f>AL179+MIN(R178+AB179-AL179,MAX(0,ROUND(Долги!$D$19-SUM($AL179:$AU179),2)))</f>
        <v>0.0</v>
      </c>
      <c r="I179" s="31">
        <f>AM179+MIN(S178+AC179-AM179,MAX(0,ROUND(ROUND(Долги!$D$19-SUM($AL179:$AU179),2)-(SUM($H179:H179)-SUM($AL179:AL179)),2)))</f>
        <v>0.0</v>
      </c>
      <c r="J179" s="31">
        <f>AN179+MIN(T178+AD179-AN179,MAX(0,ROUND(ROUND(Долги!$D$19-SUM($AL179:$AU179),2)-(SUM($H179:I179)-SUM($AL179:AM179)),2)))</f>
        <v>0.0</v>
      </c>
      <c r="K179" s="31">
        <f>AO179+MIN(U178+AE179-AO179,MAX(0,ROUND(ROUND(Долги!$D$19-SUM($AL179:$AU179),2)-(SUM($H179:J179)-SUM($AL179:AN179)),2)))</f>
        <v>0.0</v>
      </c>
      <c r="L179" s="31">
        <f>AP179+MIN(V178+AF179-AP179,MAX(0,ROUND(ROUND(Долги!$D$19-SUM($AL179:$AU179),2)-(SUM($H179:K179)-SUM($AL179:AO179)),2)))</f>
        <v>0.0</v>
      </c>
      <c r="M179" s="31">
        <f>AQ179+MIN(W178+AG179-AQ179,MAX(0,ROUND(ROUND(Долги!$D$19-SUM($AL179:$AU179),2)-(SUM($H179:L179)-SUM($AL179:AP179)),2)))</f>
        <v>0.0</v>
      </c>
      <c r="N179" s="31">
        <f>AR179+MIN(X178+AH179-AR179,MAX(0,ROUND(ROUND(Долги!$D$19-SUM($AL179:$AU179),2)-(SUM($H179:M179)-SUM($AL179:AQ179)),2)))</f>
        <v>0.0</v>
      </c>
      <c r="O179" s="31">
        <f>AS179+MIN(Y178+AI179-AS179,MAX(0,ROUND(ROUND(Долги!$D$19-SUM($AL179:$AU179),2)-(SUM($H179:N179)-SUM($AL179:AR179)),2)))</f>
        <v>0.0</v>
      </c>
      <c r="P179" s="31">
        <f>AT179+MIN(Z178+AJ179-AT179,MAX(0,ROUND(ROUND(Долги!$D$19-SUM($AL179:$AU179),2)-(SUM($H179:O179)-SUM($AL179:AS179)),2)))</f>
        <v>0.0</v>
      </c>
      <c r="Q179" s="31">
        <f>AU179+MIN(AA178+AK179-AU179,MAX(0,ROUND(ROUND(Долги!$D$19-SUM($AL179:$AU179),2)-(SUM($H179:P179)-SUM($AL179:AT179)),2)))</f>
        <v>0.0</v>
      </c>
      <c r="R179" s="31">
        <f>IF(R178+AB179-H179&lt;=0.01,0,ROUND(R178+AB179-H179,2))</f>
        <v>0.0</v>
      </c>
      <c r="S179" s="31">
        <f>IF(S178+AC179-I179&lt;=0.01,0,ROUND(S178+AC179-I179,2))</f>
        <v>0.0</v>
      </c>
      <c r="T179" s="31">
        <f>IF(T178+AD179-J179&lt;=0.01,0,ROUND(T178+AD179-J179,2))</f>
        <v>0.0</v>
      </c>
      <c r="U179" s="31">
        <f>IF(U178+AE179-K179&lt;=0.01,0,ROUND(U178+AE179-K179,2))</f>
        <v>0.0</v>
      </c>
      <c r="V179" s="31">
        <f>IF(V178+AF179-L179&lt;=0.01,0,ROUND(V178+AF179-L179,2))</f>
        <v>0.0</v>
      </c>
      <c r="W179" s="31">
        <f>IF(W178+AG179-M179&lt;=0.01,0,ROUND(W178+AG179-M179,2))</f>
        <v>0.0</v>
      </c>
      <c r="X179" s="31">
        <f>IF(X178+AH179-N179&lt;=0.01,0,ROUND(X178+AH179-N179,2))</f>
        <v>0.0</v>
      </c>
      <c r="Y179" s="31">
        <f>IF(Y178+AI179-O179&lt;=0.01,0,ROUND(Y178+AI179-O179,2))</f>
        <v>0.0</v>
      </c>
      <c r="Z179" s="31">
        <f>IF(Z178+AJ179-P179&lt;=0.01,0,ROUND(Z178+AJ179-P179,2))</f>
        <v>0.0</v>
      </c>
      <c r="AA179" s="31">
        <f>IF(AA178+AK179-Q179&lt;=0.01,0,ROUND(AA178+AK179-Q179,2))</f>
        <v>0.0</v>
      </c>
      <c r="AB179" s="31">
        <f>ROUND(R178*AB$5/1200,2)</f>
        <v>0.0</v>
      </c>
      <c r="AC179" s="31">
        <f>ROUND(S178*AC$5/1200,2)</f>
        <v>0.0</v>
      </c>
      <c r="AD179" s="31">
        <f>ROUND(T178*AD$5/1200,2)</f>
        <v>0.0</v>
      </c>
      <c r="AE179" s="31">
        <f>ROUND(U178*AE$5/1200,2)</f>
        <v>0.0</v>
      </c>
      <c r="AF179" s="31">
        <f>ROUND(V178*AF$5/1200,2)</f>
        <v>0.0</v>
      </c>
      <c r="AG179" s="31">
        <f>ROUND(W178*AG$5/1200,2)</f>
        <v>0.0</v>
      </c>
      <c r="AH179" s="31">
        <f>ROUND(X178*AH$5/1200,2)</f>
        <v>0.0</v>
      </c>
      <c r="AI179" s="31">
        <f>ROUND(Y178*AI$5/1200,2)</f>
        <v>0.0</v>
      </c>
      <c r="AJ179" s="31">
        <f>ROUND(Z178*AJ$5/1200,2)</f>
        <v>0.0</v>
      </c>
      <c r="AK179" s="31">
        <f>ROUND(AA178*AK$5/1200,2)</f>
        <v>0.0</v>
      </c>
      <c r="AL179" s="31">
        <f>MIN(AL$5,R178+AB179)</f>
        <v>0.0</v>
      </c>
      <c r="AM179" s="31">
        <f>MIN(AM$5,S178+AC179)</f>
        <v>0.0</v>
      </c>
      <c r="AN179" s="31">
        <f>MIN(AN$5,T178+AD179)</f>
        <v>0.0</v>
      </c>
      <c r="AO179" s="31">
        <f>MIN(AO$5,U178+AE179)</f>
        <v>0.0</v>
      </c>
      <c r="AP179" s="31">
        <f>MIN(AP$5,V178+AF179)</f>
        <v>0.0</v>
      </c>
      <c r="AQ179" s="31">
        <f>MIN(AQ$5,W178+AG179)</f>
        <v>0.0</v>
      </c>
      <c r="AR179" s="31">
        <f>MIN(AR$5,X178+AH179)</f>
        <v>0.0</v>
      </c>
      <c r="AS179" s="31">
        <f>MIN(AS$5,Y178+AI179)</f>
        <v>0.0</v>
      </c>
      <c r="AT179" s="31">
        <f>MIN(AT$5,Z178+AJ179)</f>
        <v>0.0</v>
      </c>
      <c r="AU179" s="31">
        <f>MIN(AU$5,AA178+AK179)</f>
        <v>0.0</v>
      </c>
    </row>
    <row r="180">
      <c r="A180" s="25" t="str">
        <f>IF(F179&gt;0.005,175,"")</f>
        <v/>
      </c>
      <c r="B180" s="33" t="str">
        <f>IF(A180="","",EDATE(Долги!$D$5,174))</f>
        <v/>
      </c>
      <c r="C180" s="31">
        <f>SUM(H180:Q180)</f>
        <v>0.0</v>
      </c>
      <c r="D180" s="31">
        <f>SUM(AB180:AK180)</f>
        <v>0.0</v>
      </c>
      <c r="E180" s="31">
        <f>C180-D180</f>
        <v>0.0</v>
      </c>
      <c r="F180" s="31">
        <f>SUM(R180:AA180)</f>
        <v>0.0</v>
      </c>
      <c r="G180" s="34" t="str">
        <f>IF(OR(A180="",$F$5&lt;=0),"",REPT("█",ROUND(20*F180/$F$5,0)))</f>
        <v/>
      </c>
      <c r="H180" s="31">
        <f>AL180+MIN(R179+AB180-AL180,MAX(0,ROUND(Долги!$D$19-SUM($AL180:$AU180),2)))</f>
        <v>0.0</v>
      </c>
      <c r="I180" s="31">
        <f>AM180+MIN(S179+AC180-AM180,MAX(0,ROUND(ROUND(Долги!$D$19-SUM($AL180:$AU180),2)-(SUM($H180:H180)-SUM($AL180:AL180)),2)))</f>
        <v>0.0</v>
      </c>
      <c r="J180" s="31">
        <f>AN180+MIN(T179+AD180-AN180,MAX(0,ROUND(ROUND(Долги!$D$19-SUM($AL180:$AU180),2)-(SUM($H180:I180)-SUM($AL180:AM180)),2)))</f>
        <v>0.0</v>
      </c>
      <c r="K180" s="31">
        <f>AO180+MIN(U179+AE180-AO180,MAX(0,ROUND(ROUND(Долги!$D$19-SUM($AL180:$AU180),2)-(SUM($H180:J180)-SUM($AL180:AN180)),2)))</f>
        <v>0.0</v>
      </c>
      <c r="L180" s="31">
        <f>AP180+MIN(V179+AF180-AP180,MAX(0,ROUND(ROUND(Долги!$D$19-SUM($AL180:$AU180),2)-(SUM($H180:K180)-SUM($AL180:AO180)),2)))</f>
        <v>0.0</v>
      </c>
      <c r="M180" s="31">
        <f>AQ180+MIN(W179+AG180-AQ180,MAX(0,ROUND(ROUND(Долги!$D$19-SUM($AL180:$AU180),2)-(SUM($H180:L180)-SUM($AL180:AP180)),2)))</f>
        <v>0.0</v>
      </c>
      <c r="N180" s="31">
        <f>AR180+MIN(X179+AH180-AR180,MAX(0,ROUND(ROUND(Долги!$D$19-SUM($AL180:$AU180),2)-(SUM($H180:M180)-SUM($AL180:AQ180)),2)))</f>
        <v>0.0</v>
      </c>
      <c r="O180" s="31">
        <f>AS180+MIN(Y179+AI180-AS180,MAX(0,ROUND(ROUND(Долги!$D$19-SUM($AL180:$AU180),2)-(SUM($H180:N180)-SUM($AL180:AR180)),2)))</f>
        <v>0.0</v>
      </c>
      <c r="P180" s="31">
        <f>AT180+MIN(Z179+AJ180-AT180,MAX(0,ROUND(ROUND(Долги!$D$19-SUM($AL180:$AU180),2)-(SUM($H180:O180)-SUM($AL180:AS180)),2)))</f>
        <v>0.0</v>
      </c>
      <c r="Q180" s="31">
        <f>AU180+MIN(AA179+AK180-AU180,MAX(0,ROUND(ROUND(Долги!$D$19-SUM($AL180:$AU180),2)-(SUM($H180:P180)-SUM($AL180:AT180)),2)))</f>
        <v>0.0</v>
      </c>
      <c r="R180" s="31">
        <f>IF(R179+AB180-H180&lt;=0.01,0,ROUND(R179+AB180-H180,2))</f>
        <v>0.0</v>
      </c>
      <c r="S180" s="31">
        <f>IF(S179+AC180-I180&lt;=0.01,0,ROUND(S179+AC180-I180,2))</f>
        <v>0.0</v>
      </c>
      <c r="T180" s="31">
        <f>IF(T179+AD180-J180&lt;=0.01,0,ROUND(T179+AD180-J180,2))</f>
        <v>0.0</v>
      </c>
      <c r="U180" s="31">
        <f>IF(U179+AE180-K180&lt;=0.01,0,ROUND(U179+AE180-K180,2))</f>
        <v>0.0</v>
      </c>
      <c r="V180" s="31">
        <f>IF(V179+AF180-L180&lt;=0.01,0,ROUND(V179+AF180-L180,2))</f>
        <v>0.0</v>
      </c>
      <c r="W180" s="31">
        <f>IF(W179+AG180-M180&lt;=0.01,0,ROUND(W179+AG180-M180,2))</f>
        <v>0.0</v>
      </c>
      <c r="X180" s="31">
        <f>IF(X179+AH180-N180&lt;=0.01,0,ROUND(X179+AH180-N180,2))</f>
        <v>0.0</v>
      </c>
      <c r="Y180" s="31">
        <f>IF(Y179+AI180-O180&lt;=0.01,0,ROUND(Y179+AI180-O180,2))</f>
        <v>0.0</v>
      </c>
      <c r="Z180" s="31">
        <f>IF(Z179+AJ180-P180&lt;=0.01,0,ROUND(Z179+AJ180-P180,2))</f>
        <v>0.0</v>
      </c>
      <c r="AA180" s="31">
        <f>IF(AA179+AK180-Q180&lt;=0.01,0,ROUND(AA179+AK180-Q180,2))</f>
        <v>0.0</v>
      </c>
      <c r="AB180" s="31">
        <f>ROUND(R179*AB$5/1200,2)</f>
        <v>0.0</v>
      </c>
      <c r="AC180" s="31">
        <f>ROUND(S179*AC$5/1200,2)</f>
        <v>0.0</v>
      </c>
      <c r="AD180" s="31">
        <f>ROUND(T179*AD$5/1200,2)</f>
        <v>0.0</v>
      </c>
      <c r="AE180" s="31">
        <f>ROUND(U179*AE$5/1200,2)</f>
        <v>0.0</v>
      </c>
      <c r="AF180" s="31">
        <f>ROUND(V179*AF$5/1200,2)</f>
        <v>0.0</v>
      </c>
      <c r="AG180" s="31">
        <f>ROUND(W179*AG$5/1200,2)</f>
        <v>0.0</v>
      </c>
      <c r="AH180" s="31">
        <f>ROUND(X179*AH$5/1200,2)</f>
        <v>0.0</v>
      </c>
      <c r="AI180" s="31">
        <f>ROUND(Y179*AI$5/1200,2)</f>
        <v>0.0</v>
      </c>
      <c r="AJ180" s="31">
        <f>ROUND(Z179*AJ$5/1200,2)</f>
        <v>0.0</v>
      </c>
      <c r="AK180" s="31">
        <f>ROUND(AA179*AK$5/1200,2)</f>
        <v>0.0</v>
      </c>
      <c r="AL180" s="31">
        <f>MIN(AL$5,R179+AB180)</f>
        <v>0.0</v>
      </c>
      <c r="AM180" s="31">
        <f>MIN(AM$5,S179+AC180)</f>
        <v>0.0</v>
      </c>
      <c r="AN180" s="31">
        <f>MIN(AN$5,T179+AD180)</f>
        <v>0.0</v>
      </c>
      <c r="AO180" s="31">
        <f>MIN(AO$5,U179+AE180)</f>
        <v>0.0</v>
      </c>
      <c r="AP180" s="31">
        <f>MIN(AP$5,V179+AF180)</f>
        <v>0.0</v>
      </c>
      <c r="AQ180" s="31">
        <f>MIN(AQ$5,W179+AG180)</f>
        <v>0.0</v>
      </c>
      <c r="AR180" s="31">
        <f>MIN(AR$5,X179+AH180)</f>
        <v>0.0</v>
      </c>
      <c r="AS180" s="31">
        <f>MIN(AS$5,Y179+AI180)</f>
        <v>0.0</v>
      </c>
      <c r="AT180" s="31">
        <f>MIN(AT$5,Z179+AJ180)</f>
        <v>0.0</v>
      </c>
      <c r="AU180" s="31">
        <f>MIN(AU$5,AA179+AK180)</f>
        <v>0.0</v>
      </c>
    </row>
    <row r="181">
      <c r="A181" s="25" t="str">
        <f>IF(F180&gt;0.005,176,"")</f>
        <v/>
      </c>
      <c r="B181" s="33" t="str">
        <f>IF(A181="","",EDATE(Долги!$D$5,175))</f>
        <v/>
      </c>
      <c r="C181" s="31">
        <f>SUM(H181:Q181)</f>
        <v>0.0</v>
      </c>
      <c r="D181" s="31">
        <f>SUM(AB181:AK181)</f>
        <v>0.0</v>
      </c>
      <c r="E181" s="31">
        <f>C181-D181</f>
        <v>0.0</v>
      </c>
      <c r="F181" s="31">
        <f>SUM(R181:AA181)</f>
        <v>0.0</v>
      </c>
      <c r="G181" s="34" t="str">
        <f>IF(OR(A181="",$F$5&lt;=0),"",REPT("█",ROUND(20*F181/$F$5,0)))</f>
        <v/>
      </c>
      <c r="H181" s="31">
        <f>AL181+MIN(R180+AB181-AL181,MAX(0,ROUND(Долги!$D$19-SUM($AL181:$AU181),2)))</f>
        <v>0.0</v>
      </c>
      <c r="I181" s="31">
        <f>AM181+MIN(S180+AC181-AM181,MAX(0,ROUND(ROUND(Долги!$D$19-SUM($AL181:$AU181),2)-(SUM($H181:H181)-SUM($AL181:AL181)),2)))</f>
        <v>0.0</v>
      </c>
      <c r="J181" s="31">
        <f>AN181+MIN(T180+AD181-AN181,MAX(0,ROUND(ROUND(Долги!$D$19-SUM($AL181:$AU181),2)-(SUM($H181:I181)-SUM($AL181:AM181)),2)))</f>
        <v>0.0</v>
      </c>
      <c r="K181" s="31">
        <f>AO181+MIN(U180+AE181-AO181,MAX(0,ROUND(ROUND(Долги!$D$19-SUM($AL181:$AU181),2)-(SUM($H181:J181)-SUM($AL181:AN181)),2)))</f>
        <v>0.0</v>
      </c>
      <c r="L181" s="31">
        <f>AP181+MIN(V180+AF181-AP181,MAX(0,ROUND(ROUND(Долги!$D$19-SUM($AL181:$AU181),2)-(SUM($H181:K181)-SUM($AL181:AO181)),2)))</f>
        <v>0.0</v>
      </c>
      <c r="M181" s="31">
        <f>AQ181+MIN(W180+AG181-AQ181,MAX(0,ROUND(ROUND(Долги!$D$19-SUM($AL181:$AU181),2)-(SUM($H181:L181)-SUM($AL181:AP181)),2)))</f>
        <v>0.0</v>
      </c>
      <c r="N181" s="31">
        <f>AR181+MIN(X180+AH181-AR181,MAX(0,ROUND(ROUND(Долги!$D$19-SUM($AL181:$AU181),2)-(SUM($H181:M181)-SUM($AL181:AQ181)),2)))</f>
        <v>0.0</v>
      </c>
      <c r="O181" s="31">
        <f>AS181+MIN(Y180+AI181-AS181,MAX(0,ROUND(ROUND(Долги!$D$19-SUM($AL181:$AU181),2)-(SUM($H181:N181)-SUM($AL181:AR181)),2)))</f>
        <v>0.0</v>
      </c>
      <c r="P181" s="31">
        <f>AT181+MIN(Z180+AJ181-AT181,MAX(0,ROUND(ROUND(Долги!$D$19-SUM($AL181:$AU181),2)-(SUM($H181:O181)-SUM($AL181:AS181)),2)))</f>
        <v>0.0</v>
      </c>
      <c r="Q181" s="31">
        <f>AU181+MIN(AA180+AK181-AU181,MAX(0,ROUND(ROUND(Долги!$D$19-SUM($AL181:$AU181),2)-(SUM($H181:P181)-SUM($AL181:AT181)),2)))</f>
        <v>0.0</v>
      </c>
      <c r="R181" s="31">
        <f>IF(R180+AB181-H181&lt;=0.01,0,ROUND(R180+AB181-H181,2))</f>
        <v>0.0</v>
      </c>
      <c r="S181" s="31">
        <f>IF(S180+AC181-I181&lt;=0.01,0,ROUND(S180+AC181-I181,2))</f>
        <v>0.0</v>
      </c>
      <c r="T181" s="31">
        <f>IF(T180+AD181-J181&lt;=0.01,0,ROUND(T180+AD181-J181,2))</f>
        <v>0.0</v>
      </c>
      <c r="U181" s="31">
        <f>IF(U180+AE181-K181&lt;=0.01,0,ROUND(U180+AE181-K181,2))</f>
        <v>0.0</v>
      </c>
      <c r="V181" s="31">
        <f>IF(V180+AF181-L181&lt;=0.01,0,ROUND(V180+AF181-L181,2))</f>
        <v>0.0</v>
      </c>
      <c r="W181" s="31">
        <f>IF(W180+AG181-M181&lt;=0.01,0,ROUND(W180+AG181-M181,2))</f>
        <v>0.0</v>
      </c>
      <c r="X181" s="31">
        <f>IF(X180+AH181-N181&lt;=0.01,0,ROUND(X180+AH181-N181,2))</f>
        <v>0.0</v>
      </c>
      <c r="Y181" s="31">
        <f>IF(Y180+AI181-O181&lt;=0.01,0,ROUND(Y180+AI181-O181,2))</f>
        <v>0.0</v>
      </c>
      <c r="Z181" s="31">
        <f>IF(Z180+AJ181-P181&lt;=0.01,0,ROUND(Z180+AJ181-P181,2))</f>
        <v>0.0</v>
      </c>
      <c r="AA181" s="31">
        <f>IF(AA180+AK181-Q181&lt;=0.01,0,ROUND(AA180+AK181-Q181,2))</f>
        <v>0.0</v>
      </c>
      <c r="AB181" s="31">
        <f>ROUND(R180*AB$5/1200,2)</f>
        <v>0.0</v>
      </c>
      <c r="AC181" s="31">
        <f>ROUND(S180*AC$5/1200,2)</f>
        <v>0.0</v>
      </c>
      <c r="AD181" s="31">
        <f>ROUND(T180*AD$5/1200,2)</f>
        <v>0.0</v>
      </c>
      <c r="AE181" s="31">
        <f>ROUND(U180*AE$5/1200,2)</f>
        <v>0.0</v>
      </c>
      <c r="AF181" s="31">
        <f>ROUND(V180*AF$5/1200,2)</f>
        <v>0.0</v>
      </c>
      <c r="AG181" s="31">
        <f>ROUND(W180*AG$5/1200,2)</f>
        <v>0.0</v>
      </c>
      <c r="AH181" s="31">
        <f>ROUND(X180*AH$5/1200,2)</f>
        <v>0.0</v>
      </c>
      <c r="AI181" s="31">
        <f>ROUND(Y180*AI$5/1200,2)</f>
        <v>0.0</v>
      </c>
      <c r="AJ181" s="31">
        <f>ROUND(Z180*AJ$5/1200,2)</f>
        <v>0.0</v>
      </c>
      <c r="AK181" s="31">
        <f>ROUND(AA180*AK$5/1200,2)</f>
        <v>0.0</v>
      </c>
      <c r="AL181" s="31">
        <f>MIN(AL$5,R180+AB181)</f>
        <v>0.0</v>
      </c>
      <c r="AM181" s="31">
        <f>MIN(AM$5,S180+AC181)</f>
        <v>0.0</v>
      </c>
      <c r="AN181" s="31">
        <f>MIN(AN$5,T180+AD181)</f>
        <v>0.0</v>
      </c>
      <c r="AO181" s="31">
        <f>MIN(AO$5,U180+AE181)</f>
        <v>0.0</v>
      </c>
      <c r="AP181" s="31">
        <f>MIN(AP$5,V180+AF181)</f>
        <v>0.0</v>
      </c>
      <c r="AQ181" s="31">
        <f>MIN(AQ$5,W180+AG181)</f>
        <v>0.0</v>
      </c>
      <c r="AR181" s="31">
        <f>MIN(AR$5,X180+AH181)</f>
        <v>0.0</v>
      </c>
      <c r="AS181" s="31">
        <f>MIN(AS$5,Y180+AI181)</f>
        <v>0.0</v>
      </c>
      <c r="AT181" s="31">
        <f>MIN(AT$5,Z180+AJ181)</f>
        <v>0.0</v>
      </c>
      <c r="AU181" s="31">
        <f>MIN(AU$5,AA180+AK181)</f>
        <v>0.0</v>
      </c>
    </row>
    <row r="182">
      <c r="A182" s="25" t="str">
        <f>IF(F181&gt;0.005,177,"")</f>
        <v/>
      </c>
      <c r="B182" s="33" t="str">
        <f>IF(A182="","",EDATE(Долги!$D$5,176))</f>
        <v/>
      </c>
      <c r="C182" s="31">
        <f>SUM(H182:Q182)</f>
        <v>0.0</v>
      </c>
      <c r="D182" s="31">
        <f>SUM(AB182:AK182)</f>
        <v>0.0</v>
      </c>
      <c r="E182" s="31">
        <f>C182-D182</f>
        <v>0.0</v>
      </c>
      <c r="F182" s="31">
        <f>SUM(R182:AA182)</f>
        <v>0.0</v>
      </c>
      <c r="G182" s="34" t="str">
        <f>IF(OR(A182="",$F$5&lt;=0),"",REPT("█",ROUND(20*F182/$F$5,0)))</f>
        <v/>
      </c>
      <c r="H182" s="31">
        <f>AL182+MIN(R181+AB182-AL182,MAX(0,ROUND(Долги!$D$19-SUM($AL182:$AU182),2)))</f>
        <v>0.0</v>
      </c>
      <c r="I182" s="31">
        <f>AM182+MIN(S181+AC182-AM182,MAX(0,ROUND(ROUND(Долги!$D$19-SUM($AL182:$AU182),2)-(SUM($H182:H182)-SUM($AL182:AL182)),2)))</f>
        <v>0.0</v>
      </c>
      <c r="J182" s="31">
        <f>AN182+MIN(T181+AD182-AN182,MAX(0,ROUND(ROUND(Долги!$D$19-SUM($AL182:$AU182),2)-(SUM($H182:I182)-SUM($AL182:AM182)),2)))</f>
        <v>0.0</v>
      </c>
      <c r="K182" s="31">
        <f>AO182+MIN(U181+AE182-AO182,MAX(0,ROUND(ROUND(Долги!$D$19-SUM($AL182:$AU182),2)-(SUM($H182:J182)-SUM($AL182:AN182)),2)))</f>
        <v>0.0</v>
      </c>
      <c r="L182" s="31">
        <f>AP182+MIN(V181+AF182-AP182,MAX(0,ROUND(ROUND(Долги!$D$19-SUM($AL182:$AU182),2)-(SUM($H182:K182)-SUM($AL182:AO182)),2)))</f>
        <v>0.0</v>
      </c>
      <c r="M182" s="31">
        <f>AQ182+MIN(W181+AG182-AQ182,MAX(0,ROUND(ROUND(Долги!$D$19-SUM($AL182:$AU182),2)-(SUM($H182:L182)-SUM($AL182:AP182)),2)))</f>
        <v>0.0</v>
      </c>
      <c r="N182" s="31">
        <f>AR182+MIN(X181+AH182-AR182,MAX(0,ROUND(ROUND(Долги!$D$19-SUM($AL182:$AU182),2)-(SUM($H182:M182)-SUM($AL182:AQ182)),2)))</f>
        <v>0.0</v>
      </c>
      <c r="O182" s="31">
        <f>AS182+MIN(Y181+AI182-AS182,MAX(0,ROUND(ROUND(Долги!$D$19-SUM($AL182:$AU182),2)-(SUM($H182:N182)-SUM($AL182:AR182)),2)))</f>
        <v>0.0</v>
      </c>
      <c r="P182" s="31">
        <f>AT182+MIN(Z181+AJ182-AT182,MAX(0,ROUND(ROUND(Долги!$D$19-SUM($AL182:$AU182),2)-(SUM($H182:O182)-SUM($AL182:AS182)),2)))</f>
        <v>0.0</v>
      </c>
      <c r="Q182" s="31">
        <f>AU182+MIN(AA181+AK182-AU182,MAX(0,ROUND(ROUND(Долги!$D$19-SUM($AL182:$AU182),2)-(SUM($H182:P182)-SUM($AL182:AT182)),2)))</f>
        <v>0.0</v>
      </c>
      <c r="R182" s="31">
        <f>IF(R181+AB182-H182&lt;=0.01,0,ROUND(R181+AB182-H182,2))</f>
        <v>0.0</v>
      </c>
      <c r="S182" s="31">
        <f>IF(S181+AC182-I182&lt;=0.01,0,ROUND(S181+AC182-I182,2))</f>
        <v>0.0</v>
      </c>
      <c r="T182" s="31">
        <f>IF(T181+AD182-J182&lt;=0.01,0,ROUND(T181+AD182-J182,2))</f>
        <v>0.0</v>
      </c>
      <c r="U182" s="31">
        <f>IF(U181+AE182-K182&lt;=0.01,0,ROUND(U181+AE182-K182,2))</f>
        <v>0.0</v>
      </c>
      <c r="V182" s="31">
        <f>IF(V181+AF182-L182&lt;=0.01,0,ROUND(V181+AF182-L182,2))</f>
        <v>0.0</v>
      </c>
      <c r="W182" s="31">
        <f>IF(W181+AG182-M182&lt;=0.01,0,ROUND(W181+AG182-M182,2))</f>
        <v>0.0</v>
      </c>
      <c r="X182" s="31">
        <f>IF(X181+AH182-N182&lt;=0.01,0,ROUND(X181+AH182-N182,2))</f>
        <v>0.0</v>
      </c>
      <c r="Y182" s="31">
        <f>IF(Y181+AI182-O182&lt;=0.01,0,ROUND(Y181+AI182-O182,2))</f>
        <v>0.0</v>
      </c>
      <c r="Z182" s="31">
        <f>IF(Z181+AJ182-P182&lt;=0.01,0,ROUND(Z181+AJ182-P182,2))</f>
        <v>0.0</v>
      </c>
      <c r="AA182" s="31">
        <f>IF(AA181+AK182-Q182&lt;=0.01,0,ROUND(AA181+AK182-Q182,2))</f>
        <v>0.0</v>
      </c>
      <c r="AB182" s="31">
        <f>ROUND(R181*AB$5/1200,2)</f>
        <v>0.0</v>
      </c>
      <c r="AC182" s="31">
        <f>ROUND(S181*AC$5/1200,2)</f>
        <v>0.0</v>
      </c>
      <c r="AD182" s="31">
        <f>ROUND(T181*AD$5/1200,2)</f>
        <v>0.0</v>
      </c>
      <c r="AE182" s="31">
        <f>ROUND(U181*AE$5/1200,2)</f>
        <v>0.0</v>
      </c>
      <c r="AF182" s="31">
        <f>ROUND(V181*AF$5/1200,2)</f>
        <v>0.0</v>
      </c>
      <c r="AG182" s="31">
        <f>ROUND(W181*AG$5/1200,2)</f>
        <v>0.0</v>
      </c>
      <c r="AH182" s="31">
        <f>ROUND(X181*AH$5/1200,2)</f>
        <v>0.0</v>
      </c>
      <c r="AI182" s="31">
        <f>ROUND(Y181*AI$5/1200,2)</f>
        <v>0.0</v>
      </c>
      <c r="AJ182" s="31">
        <f>ROUND(Z181*AJ$5/1200,2)</f>
        <v>0.0</v>
      </c>
      <c r="AK182" s="31">
        <f>ROUND(AA181*AK$5/1200,2)</f>
        <v>0.0</v>
      </c>
      <c r="AL182" s="31">
        <f>MIN(AL$5,R181+AB182)</f>
        <v>0.0</v>
      </c>
      <c r="AM182" s="31">
        <f>MIN(AM$5,S181+AC182)</f>
        <v>0.0</v>
      </c>
      <c r="AN182" s="31">
        <f>MIN(AN$5,T181+AD182)</f>
        <v>0.0</v>
      </c>
      <c r="AO182" s="31">
        <f>MIN(AO$5,U181+AE182)</f>
        <v>0.0</v>
      </c>
      <c r="AP182" s="31">
        <f>MIN(AP$5,V181+AF182)</f>
        <v>0.0</v>
      </c>
      <c r="AQ182" s="31">
        <f>MIN(AQ$5,W181+AG182)</f>
        <v>0.0</v>
      </c>
      <c r="AR182" s="31">
        <f>MIN(AR$5,X181+AH182)</f>
        <v>0.0</v>
      </c>
      <c r="AS182" s="31">
        <f>MIN(AS$5,Y181+AI182)</f>
        <v>0.0</v>
      </c>
      <c r="AT182" s="31">
        <f>MIN(AT$5,Z181+AJ182)</f>
        <v>0.0</v>
      </c>
      <c r="AU182" s="31">
        <f>MIN(AU$5,AA181+AK182)</f>
        <v>0.0</v>
      </c>
    </row>
    <row r="183">
      <c r="A183" s="25" t="str">
        <f>IF(F182&gt;0.005,178,"")</f>
        <v/>
      </c>
      <c r="B183" s="33" t="str">
        <f>IF(A183="","",EDATE(Долги!$D$5,177))</f>
        <v/>
      </c>
      <c r="C183" s="31">
        <f>SUM(H183:Q183)</f>
        <v>0.0</v>
      </c>
      <c r="D183" s="31">
        <f>SUM(AB183:AK183)</f>
        <v>0.0</v>
      </c>
      <c r="E183" s="31">
        <f>C183-D183</f>
        <v>0.0</v>
      </c>
      <c r="F183" s="31">
        <f>SUM(R183:AA183)</f>
        <v>0.0</v>
      </c>
      <c r="G183" s="34" t="str">
        <f>IF(OR(A183="",$F$5&lt;=0),"",REPT("█",ROUND(20*F183/$F$5,0)))</f>
        <v/>
      </c>
      <c r="H183" s="31">
        <f>AL183+MIN(R182+AB183-AL183,MAX(0,ROUND(Долги!$D$19-SUM($AL183:$AU183),2)))</f>
        <v>0.0</v>
      </c>
      <c r="I183" s="31">
        <f>AM183+MIN(S182+AC183-AM183,MAX(0,ROUND(ROUND(Долги!$D$19-SUM($AL183:$AU183),2)-(SUM($H183:H183)-SUM($AL183:AL183)),2)))</f>
        <v>0.0</v>
      </c>
      <c r="J183" s="31">
        <f>AN183+MIN(T182+AD183-AN183,MAX(0,ROUND(ROUND(Долги!$D$19-SUM($AL183:$AU183),2)-(SUM($H183:I183)-SUM($AL183:AM183)),2)))</f>
        <v>0.0</v>
      </c>
      <c r="K183" s="31">
        <f>AO183+MIN(U182+AE183-AO183,MAX(0,ROUND(ROUND(Долги!$D$19-SUM($AL183:$AU183),2)-(SUM($H183:J183)-SUM($AL183:AN183)),2)))</f>
        <v>0.0</v>
      </c>
      <c r="L183" s="31">
        <f>AP183+MIN(V182+AF183-AP183,MAX(0,ROUND(ROUND(Долги!$D$19-SUM($AL183:$AU183),2)-(SUM($H183:K183)-SUM($AL183:AO183)),2)))</f>
        <v>0.0</v>
      </c>
      <c r="M183" s="31">
        <f>AQ183+MIN(W182+AG183-AQ183,MAX(0,ROUND(ROUND(Долги!$D$19-SUM($AL183:$AU183),2)-(SUM($H183:L183)-SUM($AL183:AP183)),2)))</f>
        <v>0.0</v>
      </c>
      <c r="N183" s="31">
        <f>AR183+MIN(X182+AH183-AR183,MAX(0,ROUND(ROUND(Долги!$D$19-SUM($AL183:$AU183),2)-(SUM($H183:M183)-SUM($AL183:AQ183)),2)))</f>
        <v>0.0</v>
      </c>
      <c r="O183" s="31">
        <f>AS183+MIN(Y182+AI183-AS183,MAX(0,ROUND(ROUND(Долги!$D$19-SUM($AL183:$AU183),2)-(SUM($H183:N183)-SUM($AL183:AR183)),2)))</f>
        <v>0.0</v>
      </c>
      <c r="P183" s="31">
        <f>AT183+MIN(Z182+AJ183-AT183,MAX(0,ROUND(ROUND(Долги!$D$19-SUM($AL183:$AU183),2)-(SUM($H183:O183)-SUM($AL183:AS183)),2)))</f>
        <v>0.0</v>
      </c>
      <c r="Q183" s="31">
        <f>AU183+MIN(AA182+AK183-AU183,MAX(0,ROUND(ROUND(Долги!$D$19-SUM($AL183:$AU183),2)-(SUM($H183:P183)-SUM($AL183:AT183)),2)))</f>
        <v>0.0</v>
      </c>
      <c r="R183" s="31">
        <f>IF(R182+AB183-H183&lt;=0.01,0,ROUND(R182+AB183-H183,2))</f>
        <v>0.0</v>
      </c>
      <c r="S183" s="31">
        <f>IF(S182+AC183-I183&lt;=0.01,0,ROUND(S182+AC183-I183,2))</f>
        <v>0.0</v>
      </c>
      <c r="T183" s="31">
        <f>IF(T182+AD183-J183&lt;=0.01,0,ROUND(T182+AD183-J183,2))</f>
        <v>0.0</v>
      </c>
      <c r="U183" s="31">
        <f>IF(U182+AE183-K183&lt;=0.01,0,ROUND(U182+AE183-K183,2))</f>
        <v>0.0</v>
      </c>
      <c r="V183" s="31">
        <f>IF(V182+AF183-L183&lt;=0.01,0,ROUND(V182+AF183-L183,2))</f>
        <v>0.0</v>
      </c>
      <c r="W183" s="31">
        <f>IF(W182+AG183-M183&lt;=0.01,0,ROUND(W182+AG183-M183,2))</f>
        <v>0.0</v>
      </c>
      <c r="X183" s="31">
        <f>IF(X182+AH183-N183&lt;=0.01,0,ROUND(X182+AH183-N183,2))</f>
        <v>0.0</v>
      </c>
      <c r="Y183" s="31">
        <f>IF(Y182+AI183-O183&lt;=0.01,0,ROUND(Y182+AI183-O183,2))</f>
        <v>0.0</v>
      </c>
      <c r="Z183" s="31">
        <f>IF(Z182+AJ183-P183&lt;=0.01,0,ROUND(Z182+AJ183-P183,2))</f>
        <v>0.0</v>
      </c>
      <c r="AA183" s="31">
        <f>IF(AA182+AK183-Q183&lt;=0.01,0,ROUND(AA182+AK183-Q183,2))</f>
        <v>0.0</v>
      </c>
      <c r="AB183" s="31">
        <f>ROUND(R182*AB$5/1200,2)</f>
        <v>0.0</v>
      </c>
      <c r="AC183" s="31">
        <f>ROUND(S182*AC$5/1200,2)</f>
        <v>0.0</v>
      </c>
      <c r="AD183" s="31">
        <f>ROUND(T182*AD$5/1200,2)</f>
        <v>0.0</v>
      </c>
      <c r="AE183" s="31">
        <f>ROUND(U182*AE$5/1200,2)</f>
        <v>0.0</v>
      </c>
      <c r="AF183" s="31">
        <f>ROUND(V182*AF$5/1200,2)</f>
        <v>0.0</v>
      </c>
      <c r="AG183" s="31">
        <f>ROUND(W182*AG$5/1200,2)</f>
        <v>0.0</v>
      </c>
      <c r="AH183" s="31">
        <f>ROUND(X182*AH$5/1200,2)</f>
        <v>0.0</v>
      </c>
      <c r="AI183" s="31">
        <f>ROUND(Y182*AI$5/1200,2)</f>
        <v>0.0</v>
      </c>
      <c r="AJ183" s="31">
        <f>ROUND(Z182*AJ$5/1200,2)</f>
        <v>0.0</v>
      </c>
      <c r="AK183" s="31">
        <f>ROUND(AA182*AK$5/1200,2)</f>
        <v>0.0</v>
      </c>
      <c r="AL183" s="31">
        <f>MIN(AL$5,R182+AB183)</f>
        <v>0.0</v>
      </c>
      <c r="AM183" s="31">
        <f>MIN(AM$5,S182+AC183)</f>
        <v>0.0</v>
      </c>
      <c r="AN183" s="31">
        <f>MIN(AN$5,T182+AD183)</f>
        <v>0.0</v>
      </c>
      <c r="AO183" s="31">
        <f>MIN(AO$5,U182+AE183)</f>
        <v>0.0</v>
      </c>
      <c r="AP183" s="31">
        <f>MIN(AP$5,V182+AF183)</f>
        <v>0.0</v>
      </c>
      <c r="AQ183" s="31">
        <f>MIN(AQ$5,W182+AG183)</f>
        <v>0.0</v>
      </c>
      <c r="AR183" s="31">
        <f>MIN(AR$5,X182+AH183)</f>
        <v>0.0</v>
      </c>
      <c r="AS183" s="31">
        <f>MIN(AS$5,Y182+AI183)</f>
        <v>0.0</v>
      </c>
      <c r="AT183" s="31">
        <f>MIN(AT$5,Z182+AJ183)</f>
        <v>0.0</v>
      </c>
      <c r="AU183" s="31">
        <f>MIN(AU$5,AA182+AK183)</f>
        <v>0.0</v>
      </c>
    </row>
    <row r="184">
      <c r="A184" s="25" t="str">
        <f>IF(F183&gt;0.005,179,"")</f>
        <v/>
      </c>
      <c r="B184" s="33" t="str">
        <f>IF(A184="","",EDATE(Долги!$D$5,178))</f>
        <v/>
      </c>
      <c r="C184" s="31">
        <f>SUM(H184:Q184)</f>
        <v>0.0</v>
      </c>
      <c r="D184" s="31">
        <f>SUM(AB184:AK184)</f>
        <v>0.0</v>
      </c>
      <c r="E184" s="31">
        <f>C184-D184</f>
        <v>0.0</v>
      </c>
      <c r="F184" s="31">
        <f>SUM(R184:AA184)</f>
        <v>0.0</v>
      </c>
      <c r="G184" s="34" t="str">
        <f>IF(OR(A184="",$F$5&lt;=0),"",REPT("█",ROUND(20*F184/$F$5,0)))</f>
        <v/>
      </c>
      <c r="H184" s="31">
        <f>AL184+MIN(R183+AB184-AL184,MAX(0,ROUND(Долги!$D$19-SUM($AL184:$AU184),2)))</f>
        <v>0.0</v>
      </c>
      <c r="I184" s="31">
        <f>AM184+MIN(S183+AC184-AM184,MAX(0,ROUND(ROUND(Долги!$D$19-SUM($AL184:$AU184),2)-(SUM($H184:H184)-SUM($AL184:AL184)),2)))</f>
        <v>0.0</v>
      </c>
      <c r="J184" s="31">
        <f>AN184+MIN(T183+AD184-AN184,MAX(0,ROUND(ROUND(Долги!$D$19-SUM($AL184:$AU184),2)-(SUM($H184:I184)-SUM($AL184:AM184)),2)))</f>
        <v>0.0</v>
      </c>
      <c r="K184" s="31">
        <f>AO184+MIN(U183+AE184-AO184,MAX(0,ROUND(ROUND(Долги!$D$19-SUM($AL184:$AU184),2)-(SUM($H184:J184)-SUM($AL184:AN184)),2)))</f>
        <v>0.0</v>
      </c>
      <c r="L184" s="31">
        <f>AP184+MIN(V183+AF184-AP184,MAX(0,ROUND(ROUND(Долги!$D$19-SUM($AL184:$AU184),2)-(SUM($H184:K184)-SUM($AL184:AO184)),2)))</f>
        <v>0.0</v>
      </c>
      <c r="M184" s="31">
        <f>AQ184+MIN(W183+AG184-AQ184,MAX(0,ROUND(ROUND(Долги!$D$19-SUM($AL184:$AU184),2)-(SUM($H184:L184)-SUM($AL184:AP184)),2)))</f>
        <v>0.0</v>
      </c>
      <c r="N184" s="31">
        <f>AR184+MIN(X183+AH184-AR184,MAX(0,ROUND(ROUND(Долги!$D$19-SUM($AL184:$AU184),2)-(SUM($H184:M184)-SUM($AL184:AQ184)),2)))</f>
        <v>0.0</v>
      </c>
      <c r="O184" s="31">
        <f>AS184+MIN(Y183+AI184-AS184,MAX(0,ROUND(ROUND(Долги!$D$19-SUM($AL184:$AU184),2)-(SUM($H184:N184)-SUM($AL184:AR184)),2)))</f>
        <v>0.0</v>
      </c>
      <c r="P184" s="31">
        <f>AT184+MIN(Z183+AJ184-AT184,MAX(0,ROUND(ROUND(Долги!$D$19-SUM($AL184:$AU184),2)-(SUM($H184:O184)-SUM($AL184:AS184)),2)))</f>
        <v>0.0</v>
      </c>
      <c r="Q184" s="31">
        <f>AU184+MIN(AA183+AK184-AU184,MAX(0,ROUND(ROUND(Долги!$D$19-SUM($AL184:$AU184),2)-(SUM($H184:P184)-SUM($AL184:AT184)),2)))</f>
        <v>0.0</v>
      </c>
      <c r="R184" s="31">
        <f>IF(R183+AB184-H184&lt;=0.01,0,ROUND(R183+AB184-H184,2))</f>
        <v>0.0</v>
      </c>
      <c r="S184" s="31">
        <f>IF(S183+AC184-I184&lt;=0.01,0,ROUND(S183+AC184-I184,2))</f>
        <v>0.0</v>
      </c>
      <c r="T184" s="31">
        <f>IF(T183+AD184-J184&lt;=0.01,0,ROUND(T183+AD184-J184,2))</f>
        <v>0.0</v>
      </c>
      <c r="U184" s="31">
        <f>IF(U183+AE184-K184&lt;=0.01,0,ROUND(U183+AE184-K184,2))</f>
        <v>0.0</v>
      </c>
      <c r="V184" s="31">
        <f>IF(V183+AF184-L184&lt;=0.01,0,ROUND(V183+AF184-L184,2))</f>
        <v>0.0</v>
      </c>
      <c r="W184" s="31">
        <f>IF(W183+AG184-M184&lt;=0.01,0,ROUND(W183+AG184-M184,2))</f>
        <v>0.0</v>
      </c>
      <c r="X184" s="31">
        <f>IF(X183+AH184-N184&lt;=0.01,0,ROUND(X183+AH184-N184,2))</f>
        <v>0.0</v>
      </c>
      <c r="Y184" s="31">
        <f>IF(Y183+AI184-O184&lt;=0.01,0,ROUND(Y183+AI184-O184,2))</f>
        <v>0.0</v>
      </c>
      <c r="Z184" s="31">
        <f>IF(Z183+AJ184-P184&lt;=0.01,0,ROUND(Z183+AJ184-P184,2))</f>
        <v>0.0</v>
      </c>
      <c r="AA184" s="31">
        <f>IF(AA183+AK184-Q184&lt;=0.01,0,ROUND(AA183+AK184-Q184,2))</f>
        <v>0.0</v>
      </c>
      <c r="AB184" s="31">
        <f>ROUND(R183*AB$5/1200,2)</f>
        <v>0.0</v>
      </c>
      <c r="AC184" s="31">
        <f>ROUND(S183*AC$5/1200,2)</f>
        <v>0.0</v>
      </c>
      <c r="AD184" s="31">
        <f>ROUND(T183*AD$5/1200,2)</f>
        <v>0.0</v>
      </c>
      <c r="AE184" s="31">
        <f>ROUND(U183*AE$5/1200,2)</f>
        <v>0.0</v>
      </c>
      <c r="AF184" s="31">
        <f>ROUND(V183*AF$5/1200,2)</f>
        <v>0.0</v>
      </c>
      <c r="AG184" s="31">
        <f>ROUND(W183*AG$5/1200,2)</f>
        <v>0.0</v>
      </c>
      <c r="AH184" s="31">
        <f>ROUND(X183*AH$5/1200,2)</f>
        <v>0.0</v>
      </c>
      <c r="AI184" s="31">
        <f>ROUND(Y183*AI$5/1200,2)</f>
        <v>0.0</v>
      </c>
      <c r="AJ184" s="31">
        <f>ROUND(Z183*AJ$5/1200,2)</f>
        <v>0.0</v>
      </c>
      <c r="AK184" s="31">
        <f>ROUND(AA183*AK$5/1200,2)</f>
        <v>0.0</v>
      </c>
      <c r="AL184" s="31">
        <f>MIN(AL$5,R183+AB184)</f>
        <v>0.0</v>
      </c>
      <c r="AM184" s="31">
        <f>MIN(AM$5,S183+AC184)</f>
        <v>0.0</v>
      </c>
      <c r="AN184" s="31">
        <f>MIN(AN$5,T183+AD184)</f>
        <v>0.0</v>
      </c>
      <c r="AO184" s="31">
        <f>MIN(AO$5,U183+AE184)</f>
        <v>0.0</v>
      </c>
      <c r="AP184" s="31">
        <f>MIN(AP$5,V183+AF184)</f>
        <v>0.0</v>
      </c>
      <c r="AQ184" s="31">
        <f>MIN(AQ$5,W183+AG184)</f>
        <v>0.0</v>
      </c>
      <c r="AR184" s="31">
        <f>MIN(AR$5,X183+AH184)</f>
        <v>0.0</v>
      </c>
      <c r="AS184" s="31">
        <f>MIN(AS$5,Y183+AI184)</f>
        <v>0.0</v>
      </c>
      <c r="AT184" s="31">
        <f>MIN(AT$5,Z183+AJ184)</f>
        <v>0.0</v>
      </c>
      <c r="AU184" s="31">
        <f>MIN(AU$5,AA183+AK184)</f>
        <v>0.0</v>
      </c>
    </row>
    <row r="185">
      <c r="A185" s="25" t="str">
        <f>IF(F184&gt;0.005,180,"")</f>
        <v/>
      </c>
      <c r="B185" s="33" t="str">
        <f>IF(A185="","",EDATE(Долги!$D$5,179))</f>
        <v/>
      </c>
      <c r="C185" s="31">
        <f>SUM(H185:Q185)</f>
        <v>0.0</v>
      </c>
      <c r="D185" s="31">
        <f>SUM(AB185:AK185)</f>
        <v>0.0</v>
      </c>
      <c r="E185" s="31">
        <f>C185-D185</f>
        <v>0.0</v>
      </c>
      <c r="F185" s="31">
        <f>SUM(R185:AA185)</f>
        <v>0.0</v>
      </c>
      <c r="G185" s="34" t="str">
        <f>IF(OR(A185="",$F$5&lt;=0),"",REPT("█",ROUND(20*F185/$F$5,0)))</f>
        <v/>
      </c>
      <c r="H185" s="31">
        <f>AL185+MIN(R184+AB185-AL185,MAX(0,ROUND(Долги!$D$19-SUM($AL185:$AU185),2)))</f>
        <v>0.0</v>
      </c>
      <c r="I185" s="31">
        <f>AM185+MIN(S184+AC185-AM185,MAX(0,ROUND(ROUND(Долги!$D$19-SUM($AL185:$AU185),2)-(SUM($H185:H185)-SUM($AL185:AL185)),2)))</f>
        <v>0.0</v>
      </c>
      <c r="J185" s="31">
        <f>AN185+MIN(T184+AD185-AN185,MAX(0,ROUND(ROUND(Долги!$D$19-SUM($AL185:$AU185),2)-(SUM($H185:I185)-SUM($AL185:AM185)),2)))</f>
        <v>0.0</v>
      </c>
      <c r="K185" s="31">
        <f>AO185+MIN(U184+AE185-AO185,MAX(0,ROUND(ROUND(Долги!$D$19-SUM($AL185:$AU185),2)-(SUM($H185:J185)-SUM($AL185:AN185)),2)))</f>
        <v>0.0</v>
      </c>
      <c r="L185" s="31">
        <f>AP185+MIN(V184+AF185-AP185,MAX(0,ROUND(ROUND(Долги!$D$19-SUM($AL185:$AU185),2)-(SUM($H185:K185)-SUM($AL185:AO185)),2)))</f>
        <v>0.0</v>
      </c>
      <c r="M185" s="31">
        <f>AQ185+MIN(W184+AG185-AQ185,MAX(0,ROUND(ROUND(Долги!$D$19-SUM($AL185:$AU185),2)-(SUM($H185:L185)-SUM($AL185:AP185)),2)))</f>
        <v>0.0</v>
      </c>
      <c r="N185" s="31">
        <f>AR185+MIN(X184+AH185-AR185,MAX(0,ROUND(ROUND(Долги!$D$19-SUM($AL185:$AU185),2)-(SUM($H185:M185)-SUM($AL185:AQ185)),2)))</f>
        <v>0.0</v>
      </c>
      <c r="O185" s="31">
        <f>AS185+MIN(Y184+AI185-AS185,MAX(0,ROUND(ROUND(Долги!$D$19-SUM($AL185:$AU185),2)-(SUM($H185:N185)-SUM($AL185:AR185)),2)))</f>
        <v>0.0</v>
      </c>
      <c r="P185" s="31">
        <f>AT185+MIN(Z184+AJ185-AT185,MAX(0,ROUND(ROUND(Долги!$D$19-SUM($AL185:$AU185),2)-(SUM($H185:O185)-SUM($AL185:AS185)),2)))</f>
        <v>0.0</v>
      </c>
      <c r="Q185" s="31">
        <f>AU185+MIN(AA184+AK185-AU185,MAX(0,ROUND(ROUND(Долги!$D$19-SUM($AL185:$AU185),2)-(SUM($H185:P185)-SUM($AL185:AT185)),2)))</f>
        <v>0.0</v>
      </c>
      <c r="R185" s="31">
        <f>IF(R184+AB185-H185&lt;=0.01,0,ROUND(R184+AB185-H185,2))</f>
        <v>0.0</v>
      </c>
      <c r="S185" s="31">
        <f>IF(S184+AC185-I185&lt;=0.01,0,ROUND(S184+AC185-I185,2))</f>
        <v>0.0</v>
      </c>
      <c r="T185" s="31">
        <f>IF(T184+AD185-J185&lt;=0.01,0,ROUND(T184+AD185-J185,2))</f>
        <v>0.0</v>
      </c>
      <c r="U185" s="31">
        <f>IF(U184+AE185-K185&lt;=0.01,0,ROUND(U184+AE185-K185,2))</f>
        <v>0.0</v>
      </c>
      <c r="V185" s="31">
        <f>IF(V184+AF185-L185&lt;=0.01,0,ROUND(V184+AF185-L185,2))</f>
        <v>0.0</v>
      </c>
      <c r="W185" s="31">
        <f>IF(W184+AG185-M185&lt;=0.01,0,ROUND(W184+AG185-M185,2))</f>
        <v>0.0</v>
      </c>
      <c r="X185" s="31">
        <f>IF(X184+AH185-N185&lt;=0.01,0,ROUND(X184+AH185-N185,2))</f>
        <v>0.0</v>
      </c>
      <c r="Y185" s="31">
        <f>IF(Y184+AI185-O185&lt;=0.01,0,ROUND(Y184+AI185-O185,2))</f>
        <v>0.0</v>
      </c>
      <c r="Z185" s="31">
        <f>IF(Z184+AJ185-P185&lt;=0.01,0,ROUND(Z184+AJ185-P185,2))</f>
        <v>0.0</v>
      </c>
      <c r="AA185" s="31">
        <f>IF(AA184+AK185-Q185&lt;=0.01,0,ROUND(AA184+AK185-Q185,2))</f>
        <v>0.0</v>
      </c>
      <c r="AB185" s="31">
        <f>ROUND(R184*AB$5/1200,2)</f>
        <v>0.0</v>
      </c>
      <c r="AC185" s="31">
        <f>ROUND(S184*AC$5/1200,2)</f>
        <v>0.0</v>
      </c>
      <c r="AD185" s="31">
        <f>ROUND(T184*AD$5/1200,2)</f>
        <v>0.0</v>
      </c>
      <c r="AE185" s="31">
        <f>ROUND(U184*AE$5/1200,2)</f>
        <v>0.0</v>
      </c>
      <c r="AF185" s="31">
        <f>ROUND(V184*AF$5/1200,2)</f>
        <v>0.0</v>
      </c>
      <c r="AG185" s="31">
        <f>ROUND(W184*AG$5/1200,2)</f>
        <v>0.0</v>
      </c>
      <c r="AH185" s="31">
        <f>ROUND(X184*AH$5/1200,2)</f>
        <v>0.0</v>
      </c>
      <c r="AI185" s="31">
        <f>ROUND(Y184*AI$5/1200,2)</f>
        <v>0.0</v>
      </c>
      <c r="AJ185" s="31">
        <f>ROUND(Z184*AJ$5/1200,2)</f>
        <v>0.0</v>
      </c>
      <c r="AK185" s="31">
        <f>ROUND(AA184*AK$5/1200,2)</f>
        <v>0.0</v>
      </c>
      <c r="AL185" s="31">
        <f>MIN(AL$5,R184+AB185)</f>
        <v>0.0</v>
      </c>
      <c r="AM185" s="31">
        <f>MIN(AM$5,S184+AC185)</f>
        <v>0.0</v>
      </c>
      <c r="AN185" s="31">
        <f>MIN(AN$5,T184+AD185)</f>
        <v>0.0</v>
      </c>
      <c r="AO185" s="31">
        <f>MIN(AO$5,U184+AE185)</f>
        <v>0.0</v>
      </c>
      <c r="AP185" s="31">
        <f>MIN(AP$5,V184+AF185)</f>
        <v>0.0</v>
      </c>
      <c r="AQ185" s="31">
        <f>MIN(AQ$5,W184+AG185)</f>
        <v>0.0</v>
      </c>
      <c r="AR185" s="31">
        <f>MIN(AR$5,X184+AH185)</f>
        <v>0.0</v>
      </c>
      <c r="AS185" s="31">
        <f>MIN(AS$5,Y184+AI185)</f>
        <v>0.0</v>
      </c>
      <c r="AT185" s="31">
        <f>MIN(AT$5,Z184+AJ185)</f>
        <v>0.0</v>
      </c>
      <c r="AU185" s="31">
        <f>MIN(AU$5,AA184+AK185)</f>
        <v>0.0</v>
      </c>
    </row>
    <row r="186">
      <c r="A186" s="25" t="str">
        <f>IF(F185&gt;0.005,181,"")</f>
        <v/>
      </c>
      <c r="B186" s="33" t="str">
        <f>IF(A186="","",EDATE(Долги!$D$5,180))</f>
        <v/>
      </c>
      <c r="C186" s="31">
        <f>SUM(H186:Q186)</f>
        <v>0.0</v>
      </c>
      <c r="D186" s="31">
        <f>SUM(AB186:AK186)</f>
        <v>0.0</v>
      </c>
      <c r="E186" s="31">
        <f>C186-D186</f>
        <v>0.0</v>
      </c>
      <c r="F186" s="31">
        <f>SUM(R186:AA186)</f>
        <v>0.0</v>
      </c>
      <c r="G186" s="34" t="str">
        <f>IF(OR(A186="",$F$5&lt;=0),"",REPT("█",ROUND(20*F186/$F$5,0)))</f>
        <v/>
      </c>
      <c r="H186" s="31">
        <f>AL186+MIN(R185+AB186-AL186,MAX(0,ROUND(Долги!$D$19-SUM($AL186:$AU186),2)))</f>
        <v>0.0</v>
      </c>
      <c r="I186" s="31">
        <f>AM186+MIN(S185+AC186-AM186,MAX(0,ROUND(ROUND(Долги!$D$19-SUM($AL186:$AU186),2)-(SUM($H186:H186)-SUM($AL186:AL186)),2)))</f>
        <v>0.0</v>
      </c>
      <c r="J186" s="31">
        <f>AN186+MIN(T185+AD186-AN186,MAX(0,ROUND(ROUND(Долги!$D$19-SUM($AL186:$AU186),2)-(SUM($H186:I186)-SUM($AL186:AM186)),2)))</f>
        <v>0.0</v>
      </c>
      <c r="K186" s="31">
        <f>AO186+MIN(U185+AE186-AO186,MAX(0,ROUND(ROUND(Долги!$D$19-SUM($AL186:$AU186),2)-(SUM($H186:J186)-SUM($AL186:AN186)),2)))</f>
        <v>0.0</v>
      </c>
      <c r="L186" s="31">
        <f>AP186+MIN(V185+AF186-AP186,MAX(0,ROUND(ROUND(Долги!$D$19-SUM($AL186:$AU186),2)-(SUM($H186:K186)-SUM($AL186:AO186)),2)))</f>
        <v>0.0</v>
      </c>
      <c r="M186" s="31">
        <f>AQ186+MIN(W185+AG186-AQ186,MAX(0,ROUND(ROUND(Долги!$D$19-SUM($AL186:$AU186),2)-(SUM($H186:L186)-SUM($AL186:AP186)),2)))</f>
        <v>0.0</v>
      </c>
      <c r="N186" s="31">
        <f>AR186+MIN(X185+AH186-AR186,MAX(0,ROUND(ROUND(Долги!$D$19-SUM($AL186:$AU186),2)-(SUM($H186:M186)-SUM($AL186:AQ186)),2)))</f>
        <v>0.0</v>
      </c>
      <c r="O186" s="31">
        <f>AS186+MIN(Y185+AI186-AS186,MAX(0,ROUND(ROUND(Долги!$D$19-SUM($AL186:$AU186),2)-(SUM($H186:N186)-SUM($AL186:AR186)),2)))</f>
        <v>0.0</v>
      </c>
      <c r="P186" s="31">
        <f>AT186+MIN(Z185+AJ186-AT186,MAX(0,ROUND(ROUND(Долги!$D$19-SUM($AL186:$AU186),2)-(SUM($H186:O186)-SUM($AL186:AS186)),2)))</f>
        <v>0.0</v>
      </c>
      <c r="Q186" s="31">
        <f>AU186+MIN(AA185+AK186-AU186,MAX(0,ROUND(ROUND(Долги!$D$19-SUM($AL186:$AU186),2)-(SUM($H186:P186)-SUM($AL186:AT186)),2)))</f>
        <v>0.0</v>
      </c>
      <c r="R186" s="31">
        <f>IF(R185+AB186-H186&lt;=0.01,0,ROUND(R185+AB186-H186,2))</f>
        <v>0.0</v>
      </c>
      <c r="S186" s="31">
        <f>IF(S185+AC186-I186&lt;=0.01,0,ROUND(S185+AC186-I186,2))</f>
        <v>0.0</v>
      </c>
      <c r="T186" s="31">
        <f>IF(T185+AD186-J186&lt;=0.01,0,ROUND(T185+AD186-J186,2))</f>
        <v>0.0</v>
      </c>
      <c r="U186" s="31">
        <f>IF(U185+AE186-K186&lt;=0.01,0,ROUND(U185+AE186-K186,2))</f>
        <v>0.0</v>
      </c>
      <c r="V186" s="31">
        <f>IF(V185+AF186-L186&lt;=0.01,0,ROUND(V185+AF186-L186,2))</f>
        <v>0.0</v>
      </c>
      <c r="W186" s="31">
        <f>IF(W185+AG186-M186&lt;=0.01,0,ROUND(W185+AG186-M186,2))</f>
        <v>0.0</v>
      </c>
      <c r="X186" s="31">
        <f>IF(X185+AH186-N186&lt;=0.01,0,ROUND(X185+AH186-N186,2))</f>
        <v>0.0</v>
      </c>
      <c r="Y186" s="31">
        <f>IF(Y185+AI186-O186&lt;=0.01,0,ROUND(Y185+AI186-O186,2))</f>
        <v>0.0</v>
      </c>
      <c r="Z186" s="31">
        <f>IF(Z185+AJ186-P186&lt;=0.01,0,ROUND(Z185+AJ186-P186,2))</f>
        <v>0.0</v>
      </c>
      <c r="AA186" s="31">
        <f>IF(AA185+AK186-Q186&lt;=0.01,0,ROUND(AA185+AK186-Q186,2))</f>
        <v>0.0</v>
      </c>
      <c r="AB186" s="31">
        <f>ROUND(R185*AB$5/1200,2)</f>
        <v>0.0</v>
      </c>
      <c r="AC186" s="31">
        <f>ROUND(S185*AC$5/1200,2)</f>
        <v>0.0</v>
      </c>
      <c r="AD186" s="31">
        <f>ROUND(T185*AD$5/1200,2)</f>
        <v>0.0</v>
      </c>
      <c r="AE186" s="31">
        <f>ROUND(U185*AE$5/1200,2)</f>
        <v>0.0</v>
      </c>
      <c r="AF186" s="31">
        <f>ROUND(V185*AF$5/1200,2)</f>
        <v>0.0</v>
      </c>
      <c r="AG186" s="31">
        <f>ROUND(W185*AG$5/1200,2)</f>
        <v>0.0</v>
      </c>
      <c r="AH186" s="31">
        <f>ROUND(X185*AH$5/1200,2)</f>
        <v>0.0</v>
      </c>
      <c r="AI186" s="31">
        <f>ROUND(Y185*AI$5/1200,2)</f>
        <v>0.0</v>
      </c>
      <c r="AJ186" s="31">
        <f>ROUND(Z185*AJ$5/1200,2)</f>
        <v>0.0</v>
      </c>
      <c r="AK186" s="31">
        <f>ROUND(AA185*AK$5/1200,2)</f>
        <v>0.0</v>
      </c>
      <c r="AL186" s="31">
        <f>MIN(AL$5,R185+AB186)</f>
        <v>0.0</v>
      </c>
      <c r="AM186" s="31">
        <f>MIN(AM$5,S185+AC186)</f>
        <v>0.0</v>
      </c>
      <c r="AN186" s="31">
        <f>MIN(AN$5,T185+AD186)</f>
        <v>0.0</v>
      </c>
      <c r="AO186" s="31">
        <f>MIN(AO$5,U185+AE186)</f>
        <v>0.0</v>
      </c>
      <c r="AP186" s="31">
        <f>MIN(AP$5,V185+AF186)</f>
        <v>0.0</v>
      </c>
      <c r="AQ186" s="31">
        <f>MIN(AQ$5,W185+AG186)</f>
        <v>0.0</v>
      </c>
      <c r="AR186" s="31">
        <f>MIN(AR$5,X185+AH186)</f>
        <v>0.0</v>
      </c>
      <c r="AS186" s="31">
        <f>MIN(AS$5,Y185+AI186)</f>
        <v>0.0</v>
      </c>
      <c r="AT186" s="31">
        <f>MIN(AT$5,Z185+AJ186)</f>
        <v>0.0</v>
      </c>
      <c r="AU186" s="31">
        <f>MIN(AU$5,AA185+AK186)</f>
        <v>0.0</v>
      </c>
    </row>
    <row r="187">
      <c r="A187" s="25" t="str">
        <f>IF(F186&gt;0.005,182,"")</f>
        <v/>
      </c>
      <c r="B187" s="33" t="str">
        <f>IF(A187="","",EDATE(Долги!$D$5,181))</f>
        <v/>
      </c>
      <c r="C187" s="31">
        <f>SUM(H187:Q187)</f>
        <v>0.0</v>
      </c>
      <c r="D187" s="31">
        <f>SUM(AB187:AK187)</f>
        <v>0.0</v>
      </c>
      <c r="E187" s="31">
        <f>C187-D187</f>
        <v>0.0</v>
      </c>
      <c r="F187" s="31">
        <f>SUM(R187:AA187)</f>
        <v>0.0</v>
      </c>
      <c r="G187" s="34" t="str">
        <f>IF(OR(A187="",$F$5&lt;=0),"",REPT("█",ROUND(20*F187/$F$5,0)))</f>
        <v/>
      </c>
      <c r="H187" s="31">
        <f>AL187+MIN(R186+AB187-AL187,MAX(0,ROUND(Долги!$D$19-SUM($AL187:$AU187),2)))</f>
        <v>0.0</v>
      </c>
      <c r="I187" s="31">
        <f>AM187+MIN(S186+AC187-AM187,MAX(0,ROUND(ROUND(Долги!$D$19-SUM($AL187:$AU187),2)-(SUM($H187:H187)-SUM($AL187:AL187)),2)))</f>
        <v>0.0</v>
      </c>
      <c r="J187" s="31">
        <f>AN187+MIN(T186+AD187-AN187,MAX(0,ROUND(ROUND(Долги!$D$19-SUM($AL187:$AU187),2)-(SUM($H187:I187)-SUM($AL187:AM187)),2)))</f>
        <v>0.0</v>
      </c>
      <c r="K187" s="31">
        <f>AO187+MIN(U186+AE187-AO187,MAX(0,ROUND(ROUND(Долги!$D$19-SUM($AL187:$AU187),2)-(SUM($H187:J187)-SUM($AL187:AN187)),2)))</f>
        <v>0.0</v>
      </c>
      <c r="L187" s="31">
        <f>AP187+MIN(V186+AF187-AP187,MAX(0,ROUND(ROUND(Долги!$D$19-SUM($AL187:$AU187),2)-(SUM($H187:K187)-SUM($AL187:AO187)),2)))</f>
        <v>0.0</v>
      </c>
      <c r="M187" s="31">
        <f>AQ187+MIN(W186+AG187-AQ187,MAX(0,ROUND(ROUND(Долги!$D$19-SUM($AL187:$AU187),2)-(SUM($H187:L187)-SUM($AL187:AP187)),2)))</f>
        <v>0.0</v>
      </c>
      <c r="N187" s="31">
        <f>AR187+MIN(X186+AH187-AR187,MAX(0,ROUND(ROUND(Долги!$D$19-SUM($AL187:$AU187),2)-(SUM($H187:M187)-SUM($AL187:AQ187)),2)))</f>
        <v>0.0</v>
      </c>
      <c r="O187" s="31">
        <f>AS187+MIN(Y186+AI187-AS187,MAX(0,ROUND(ROUND(Долги!$D$19-SUM($AL187:$AU187),2)-(SUM($H187:N187)-SUM($AL187:AR187)),2)))</f>
        <v>0.0</v>
      </c>
      <c r="P187" s="31">
        <f>AT187+MIN(Z186+AJ187-AT187,MAX(0,ROUND(ROUND(Долги!$D$19-SUM($AL187:$AU187),2)-(SUM($H187:O187)-SUM($AL187:AS187)),2)))</f>
        <v>0.0</v>
      </c>
      <c r="Q187" s="31">
        <f>AU187+MIN(AA186+AK187-AU187,MAX(0,ROUND(ROUND(Долги!$D$19-SUM($AL187:$AU187),2)-(SUM($H187:P187)-SUM($AL187:AT187)),2)))</f>
        <v>0.0</v>
      </c>
      <c r="R187" s="31">
        <f>IF(R186+AB187-H187&lt;=0.01,0,ROUND(R186+AB187-H187,2))</f>
        <v>0.0</v>
      </c>
      <c r="S187" s="31">
        <f>IF(S186+AC187-I187&lt;=0.01,0,ROUND(S186+AC187-I187,2))</f>
        <v>0.0</v>
      </c>
      <c r="T187" s="31">
        <f>IF(T186+AD187-J187&lt;=0.01,0,ROUND(T186+AD187-J187,2))</f>
        <v>0.0</v>
      </c>
      <c r="U187" s="31">
        <f>IF(U186+AE187-K187&lt;=0.01,0,ROUND(U186+AE187-K187,2))</f>
        <v>0.0</v>
      </c>
      <c r="V187" s="31">
        <f>IF(V186+AF187-L187&lt;=0.01,0,ROUND(V186+AF187-L187,2))</f>
        <v>0.0</v>
      </c>
      <c r="W187" s="31">
        <f>IF(W186+AG187-M187&lt;=0.01,0,ROUND(W186+AG187-M187,2))</f>
        <v>0.0</v>
      </c>
      <c r="X187" s="31">
        <f>IF(X186+AH187-N187&lt;=0.01,0,ROUND(X186+AH187-N187,2))</f>
        <v>0.0</v>
      </c>
      <c r="Y187" s="31">
        <f>IF(Y186+AI187-O187&lt;=0.01,0,ROUND(Y186+AI187-O187,2))</f>
        <v>0.0</v>
      </c>
      <c r="Z187" s="31">
        <f>IF(Z186+AJ187-P187&lt;=0.01,0,ROUND(Z186+AJ187-P187,2))</f>
        <v>0.0</v>
      </c>
      <c r="AA187" s="31">
        <f>IF(AA186+AK187-Q187&lt;=0.01,0,ROUND(AA186+AK187-Q187,2))</f>
        <v>0.0</v>
      </c>
      <c r="AB187" s="31">
        <f>ROUND(R186*AB$5/1200,2)</f>
        <v>0.0</v>
      </c>
      <c r="AC187" s="31">
        <f>ROUND(S186*AC$5/1200,2)</f>
        <v>0.0</v>
      </c>
      <c r="AD187" s="31">
        <f>ROUND(T186*AD$5/1200,2)</f>
        <v>0.0</v>
      </c>
      <c r="AE187" s="31">
        <f>ROUND(U186*AE$5/1200,2)</f>
        <v>0.0</v>
      </c>
      <c r="AF187" s="31">
        <f>ROUND(V186*AF$5/1200,2)</f>
        <v>0.0</v>
      </c>
      <c r="AG187" s="31">
        <f>ROUND(W186*AG$5/1200,2)</f>
        <v>0.0</v>
      </c>
      <c r="AH187" s="31">
        <f>ROUND(X186*AH$5/1200,2)</f>
        <v>0.0</v>
      </c>
      <c r="AI187" s="31">
        <f>ROUND(Y186*AI$5/1200,2)</f>
        <v>0.0</v>
      </c>
      <c r="AJ187" s="31">
        <f>ROUND(Z186*AJ$5/1200,2)</f>
        <v>0.0</v>
      </c>
      <c r="AK187" s="31">
        <f>ROUND(AA186*AK$5/1200,2)</f>
        <v>0.0</v>
      </c>
      <c r="AL187" s="31">
        <f>MIN(AL$5,R186+AB187)</f>
        <v>0.0</v>
      </c>
      <c r="AM187" s="31">
        <f>MIN(AM$5,S186+AC187)</f>
        <v>0.0</v>
      </c>
      <c r="AN187" s="31">
        <f>MIN(AN$5,T186+AD187)</f>
        <v>0.0</v>
      </c>
      <c r="AO187" s="31">
        <f>MIN(AO$5,U186+AE187)</f>
        <v>0.0</v>
      </c>
      <c r="AP187" s="31">
        <f>MIN(AP$5,V186+AF187)</f>
        <v>0.0</v>
      </c>
      <c r="AQ187" s="31">
        <f>MIN(AQ$5,W186+AG187)</f>
        <v>0.0</v>
      </c>
      <c r="AR187" s="31">
        <f>MIN(AR$5,X186+AH187)</f>
        <v>0.0</v>
      </c>
      <c r="AS187" s="31">
        <f>MIN(AS$5,Y186+AI187)</f>
        <v>0.0</v>
      </c>
      <c r="AT187" s="31">
        <f>MIN(AT$5,Z186+AJ187)</f>
        <v>0.0</v>
      </c>
      <c r="AU187" s="31">
        <f>MIN(AU$5,AA186+AK187)</f>
        <v>0.0</v>
      </c>
    </row>
    <row r="188">
      <c r="A188" s="25" t="str">
        <f>IF(F187&gt;0.005,183,"")</f>
        <v/>
      </c>
      <c r="B188" s="33" t="str">
        <f>IF(A188="","",EDATE(Долги!$D$5,182))</f>
        <v/>
      </c>
      <c r="C188" s="31">
        <f>SUM(H188:Q188)</f>
        <v>0.0</v>
      </c>
      <c r="D188" s="31">
        <f>SUM(AB188:AK188)</f>
        <v>0.0</v>
      </c>
      <c r="E188" s="31">
        <f>C188-D188</f>
        <v>0.0</v>
      </c>
      <c r="F188" s="31">
        <f>SUM(R188:AA188)</f>
        <v>0.0</v>
      </c>
      <c r="G188" s="34" t="str">
        <f>IF(OR(A188="",$F$5&lt;=0),"",REPT("█",ROUND(20*F188/$F$5,0)))</f>
        <v/>
      </c>
      <c r="H188" s="31">
        <f>AL188+MIN(R187+AB188-AL188,MAX(0,ROUND(Долги!$D$19-SUM($AL188:$AU188),2)))</f>
        <v>0.0</v>
      </c>
      <c r="I188" s="31">
        <f>AM188+MIN(S187+AC188-AM188,MAX(0,ROUND(ROUND(Долги!$D$19-SUM($AL188:$AU188),2)-(SUM($H188:H188)-SUM($AL188:AL188)),2)))</f>
        <v>0.0</v>
      </c>
      <c r="J188" s="31">
        <f>AN188+MIN(T187+AD188-AN188,MAX(0,ROUND(ROUND(Долги!$D$19-SUM($AL188:$AU188),2)-(SUM($H188:I188)-SUM($AL188:AM188)),2)))</f>
        <v>0.0</v>
      </c>
      <c r="K188" s="31">
        <f>AO188+MIN(U187+AE188-AO188,MAX(0,ROUND(ROUND(Долги!$D$19-SUM($AL188:$AU188),2)-(SUM($H188:J188)-SUM($AL188:AN188)),2)))</f>
        <v>0.0</v>
      </c>
      <c r="L188" s="31">
        <f>AP188+MIN(V187+AF188-AP188,MAX(0,ROUND(ROUND(Долги!$D$19-SUM($AL188:$AU188),2)-(SUM($H188:K188)-SUM($AL188:AO188)),2)))</f>
        <v>0.0</v>
      </c>
      <c r="M188" s="31">
        <f>AQ188+MIN(W187+AG188-AQ188,MAX(0,ROUND(ROUND(Долги!$D$19-SUM($AL188:$AU188),2)-(SUM($H188:L188)-SUM($AL188:AP188)),2)))</f>
        <v>0.0</v>
      </c>
      <c r="N188" s="31">
        <f>AR188+MIN(X187+AH188-AR188,MAX(0,ROUND(ROUND(Долги!$D$19-SUM($AL188:$AU188),2)-(SUM($H188:M188)-SUM($AL188:AQ188)),2)))</f>
        <v>0.0</v>
      </c>
      <c r="O188" s="31">
        <f>AS188+MIN(Y187+AI188-AS188,MAX(0,ROUND(ROUND(Долги!$D$19-SUM($AL188:$AU188),2)-(SUM($H188:N188)-SUM($AL188:AR188)),2)))</f>
        <v>0.0</v>
      </c>
      <c r="P188" s="31">
        <f>AT188+MIN(Z187+AJ188-AT188,MAX(0,ROUND(ROUND(Долги!$D$19-SUM($AL188:$AU188),2)-(SUM($H188:O188)-SUM($AL188:AS188)),2)))</f>
        <v>0.0</v>
      </c>
      <c r="Q188" s="31">
        <f>AU188+MIN(AA187+AK188-AU188,MAX(0,ROUND(ROUND(Долги!$D$19-SUM($AL188:$AU188),2)-(SUM($H188:P188)-SUM($AL188:AT188)),2)))</f>
        <v>0.0</v>
      </c>
      <c r="R188" s="31">
        <f>IF(R187+AB188-H188&lt;=0.01,0,ROUND(R187+AB188-H188,2))</f>
        <v>0.0</v>
      </c>
      <c r="S188" s="31">
        <f>IF(S187+AC188-I188&lt;=0.01,0,ROUND(S187+AC188-I188,2))</f>
        <v>0.0</v>
      </c>
      <c r="T188" s="31">
        <f>IF(T187+AD188-J188&lt;=0.01,0,ROUND(T187+AD188-J188,2))</f>
        <v>0.0</v>
      </c>
      <c r="U188" s="31">
        <f>IF(U187+AE188-K188&lt;=0.01,0,ROUND(U187+AE188-K188,2))</f>
        <v>0.0</v>
      </c>
      <c r="V188" s="31">
        <f>IF(V187+AF188-L188&lt;=0.01,0,ROUND(V187+AF188-L188,2))</f>
        <v>0.0</v>
      </c>
      <c r="W188" s="31">
        <f>IF(W187+AG188-M188&lt;=0.01,0,ROUND(W187+AG188-M188,2))</f>
        <v>0.0</v>
      </c>
      <c r="X188" s="31">
        <f>IF(X187+AH188-N188&lt;=0.01,0,ROUND(X187+AH188-N188,2))</f>
        <v>0.0</v>
      </c>
      <c r="Y188" s="31">
        <f>IF(Y187+AI188-O188&lt;=0.01,0,ROUND(Y187+AI188-O188,2))</f>
        <v>0.0</v>
      </c>
      <c r="Z188" s="31">
        <f>IF(Z187+AJ188-P188&lt;=0.01,0,ROUND(Z187+AJ188-P188,2))</f>
        <v>0.0</v>
      </c>
      <c r="AA188" s="31">
        <f>IF(AA187+AK188-Q188&lt;=0.01,0,ROUND(AA187+AK188-Q188,2))</f>
        <v>0.0</v>
      </c>
      <c r="AB188" s="31">
        <f>ROUND(R187*AB$5/1200,2)</f>
        <v>0.0</v>
      </c>
      <c r="AC188" s="31">
        <f>ROUND(S187*AC$5/1200,2)</f>
        <v>0.0</v>
      </c>
      <c r="AD188" s="31">
        <f>ROUND(T187*AD$5/1200,2)</f>
        <v>0.0</v>
      </c>
      <c r="AE188" s="31">
        <f>ROUND(U187*AE$5/1200,2)</f>
        <v>0.0</v>
      </c>
      <c r="AF188" s="31">
        <f>ROUND(V187*AF$5/1200,2)</f>
        <v>0.0</v>
      </c>
      <c r="AG188" s="31">
        <f>ROUND(W187*AG$5/1200,2)</f>
        <v>0.0</v>
      </c>
      <c r="AH188" s="31">
        <f>ROUND(X187*AH$5/1200,2)</f>
        <v>0.0</v>
      </c>
      <c r="AI188" s="31">
        <f>ROUND(Y187*AI$5/1200,2)</f>
        <v>0.0</v>
      </c>
      <c r="AJ188" s="31">
        <f>ROUND(Z187*AJ$5/1200,2)</f>
        <v>0.0</v>
      </c>
      <c r="AK188" s="31">
        <f>ROUND(AA187*AK$5/1200,2)</f>
        <v>0.0</v>
      </c>
      <c r="AL188" s="31">
        <f>MIN(AL$5,R187+AB188)</f>
        <v>0.0</v>
      </c>
      <c r="AM188" s="31">
        <f>MIN(AM$5,S187+AC188)</f>
        <v>0.0</v>
      </c>
      <c r="AN188" s="31">
        <f>MIN(AN$5,T187+AD188)</f>
        <v>0.0</v>
      </c>
      <c r="AO188" s="31">
        <f>MIN(AO$5,U187+AE188)</f>
        <v>0.0</v>
      </c>
      <c r="AP188" s="31">
        <f>MIN(AP$5,V187+AF188)</f>
        <v>0.0</v>
      </c>
      <c r="AQ188" s="31">
        <f>MIN(AQ$5,W187+AG188)</f>
        <v>0.0</v>
      </c>
      <c r="AR188" s="31">
        <f>MIN(AR$5,X187+AH188)</f>
        <v>0.0</v>
      </c>
      <c r="AS188" s="31">
        <f>MIN(AS$5,Y187+AI188)</f>
        <v>0.0</v>
      </c>
      <c r="AT188" s="31">
        <f>MIN(AT$5,Z187+AJ188)</f>
        <v>0.0</v>
      </c>
      <c r="AU188" s="31">
        <f>MIN(AU$5,AA187+AK188)</f>
        <v>0.0</v>
      </c>
    </row>
    <row r="189">
      <c r="A189" s="25" t="str">
        <f>IF(F188&gt;0.005,184,"")</f>
        <v/>
      </c>
      <c r="B189" s="33" t="str">
        <f>IF(A189="","",EDATE(Долги!$D$5,183))</f>
        <v/>
      </c>
      <c r="C189" s="31">
        <f>SUM(H189:Q189)</f>
        <v>0.0</v>
      </c>
      <c r="D189" s="31">
        <f>SUM(AB189:AK189)</f>
        <v>0.0</v>
      </c>
      <c r="E189" s="31">
        <f>C189-D189</f>
        <v>0.0</v>
      </c>
      <c r="F189" s="31">
        <f>SUM(R189:AA189)</f>
        <v>0.0</v>
      </c>
      <c r="G189" s="34" t="str">
        <f>IF(OR(A189="",$F$5&lt;=0),"",REPT("█",ROUND(20*F189/$F$5,0)))</f>
        <v/>
      </c>
      <c r="H189" s="31">
        <f>AL189+MIN(R188+AB189-AL189,MAX(0,ROUND(Долги!$D$19-SUM($AL189:$AU189),2)))</f>
        <v>0.0</v>
      </c>
      <c r="I189" s="31">
        <f>AM189+MIN(S188+AC189-AM189,MAX(0,ROUND(ROUND(Долги!$D$19-SUM($AL189:$AU189),2)-(SUM($H189:H189)-SUM($AL189:AL189)),2)))</f>
        <v>0.0</v>
      </c>
      <c r="J189" s="31">
        <f>AN189+MIN(T188+AD189-AN189,MAX(0,ROUND(ROUND(Долги!$D$19-SUM($AL189:$AU189),2)-(SUM($H189:I189)-SUM($AL189:AM189)),2)))</f>
        <v>0.0</v>
      </c>
      <c r="K189" s="31">
        <f>AO189+MIN(U188+AE189-AO189,MAX(0,ROUND(ROUND(Долги!$D$19-SUM($AL189:$AU189),2)-(SUM($H189:J189)-SUM($AL189:AN189)),2)))</f>
        <v>0.0</v>
      </c>
      <c r="L189" s="31">
        <f>AP189+MIN(V188+AF189-AP189,MAX(0,ROUND(ROUND(Долги!$D$19-SUM($AL189:$AU189),2)-(SUM($H189:K189)-SUM($AL189:AO189)),2)))</f>
        <v>0.0</v>
      </c>
      <c r="M189" s="31">
        <f>AQ189+MIN(W188+AG189-AQ189,MAX(0,ROUND(ROUND(Долги!$D$19-SUM($AL189:$AU189),2)-(SUM($H189:L189)-SUM($AL189:AP189)),2)))</f>
        <v>0.0</v>
      </c>
      <c r="N189" s="31">
        <f>AR189+MIN(X188+AH189-AR189,MAX(0,ROUND(ROUND(Долги!$D$19-SUM($AL189:$AU189),2)-(SUM($H189:M189)-SUM($AL189:AQ189)),2)))</f>
        <v>0.0</v>
      </c>
      <c r="O189" s="31">
        <f>AS189+MIN(Y188+AI189-AS189,MAX(0,ROUND(ROUND(Долги!$D$19-SUM($AL189:$AU189),2)-(SUM($H189:N189)-SUM($AL189:AR189)),2)))</f>
        <v>0.0</v>
      </c>
      <c r="P189" s="31">
        <f>AT189+MIN(Z188+AJ189-AT189,MAX(0,ROUND(ROUND(Долги!$D$19-SUM($AL189:$AU189),2)-(SUM($H189:O189)-SUM($AL189:AS189)),2)))</f>
        <v>0.0</v>
      </c>
      <c r="Q189" s="31">
        <f>AU189+MIN(AA188+AK189-AU189,MAX(0,ROUND(ROUND(Долги!$D$19-SUM($AL189:$AU189),2)-(SUM($H189:P189)-SUM($AL189:AT189)),2)))</f>
        <v>0.0</v>
      </c>
      <c r="R189" s="31">
        <f>IF(R188+AB189-H189&lt;=0.01,0,ROUND(R188+AB189-H189,2))</f>
        <v>0.0</v>
      </c>
      <c r="S189" s="31">
        <f>IF(S188+AC189-I189&lt;=0.01,0,ROUND(S188+AC189-I189,2))</f>
        <v>0.0</v>
      </c>
      <c r="T189" s="31">
        <f>IF(T188+AD189-J189&lt;=0.01,0,ROUND(T188+AD189-J189,2))</f>
        <v>0.0</v>
      </c>
      <c r="U189" s="31">
        <f>IF(U188+AE189-K189&lt;=0.01,0,ROUND(U188+AE189-K189,2))</f>
        <v>0.0</v>
      </c>
      <c r="V189" s="31">
        <f>IF(V188+AF189-L189&lt;=0.01,0,ROUND(V188+AF189-L189,2))</f>
        <v>0.0</v>
      </c>
      <c r="W189" s="31">
        <f>IF(W188+AG189-M189&lt;=0.01,0,ROUND(W188+AG189-M189,2))</f>
        <v>0.0</v>
      </c>
      <c r="X189" s="31">
        <f>IF(X188+AH189-N189&lt;=0.01,0,ROUND(X188+AH189-N189,2))</f>
        <v>0.0</v>
      </c>
      <c r="Y189" s="31">
        <f>IF(Y188+AI189-O189&lt;=0.01,0,ROUND(Y188+AI189-O189,2))</f>
        <v>0.0</v>
      </c>
      <c r="Z189" s="31">
        <f>IF(Z188+AJ189-P189&lt;=0.01,0,ROUND(Z188+AJ189-P189,2))</f>
        <v>0.0</v>
      </c>
      <c r="AA189" s="31">
        <f>IF(AA188+AK189-Q189&lt;=0.01,0,ROUND(AA188+AK189-Q189,2))</f>
        <v>0.0</v>
      </c>
      <c r="AB189" s="31">
        <f>ROUND(R188*AB$5/1200,2)</f>
        <v>0.0</v>
      </c>
      <c r="AC189" s="31">
        <f>ROUND(S188*AC$5/1200,2)</f>
        <v>0.0</v>
      </c>
      <c r="AD189" s="31">
        <f>ROUND(T188*AD$5/1200,2)</f>
        <v>0.0</v>
      </c>
      <c r="AE189" s="31">
        <f>ROUND(U188*AE$5/1200,2)</f>
        <v>0.0</v>
      </c>
      <c r="AF189" s="31">
        <f>ROUND(V188*AF$5/1200,2)</f>
        <v>0.0</v>
      </c>
      <c r="AG189" s="31">
        <f>ROUND(W188*AG$5/1200,2)</f>
        <v>0.0</v>
      </c>
      <c r="AH189" s="31">
        <f>ROUND(X188*AH$5/1200,2)</f>
        <v>0.0</v>
      </c>
      <c r="AI189" s="31">
        <f>ROUND(Y188*AI$5/1200,2)</f>
        <v>0.0</v>
      </c>
      <c r="AJ189" s="31">
        <f>ROUND(Z188*AJ$5/1200,2)</f>
        <v>0.0</v>
      </c>
      <c r="AK189" s="31">
        <f>ROUND(AA188*AK$5/1200,2)</f>
        <v>0.0</v>
      </c>
      <c r="AL189" s="31">
        <f>MIN(AL$5,R188+AB189)</f>
        <v>0.0</v>
      </c>
      <c r="AM189" s="31">
        <f>MIN(AM$5,S188+AC189)</f>
        <v>0.0</v>
      </c>
      <c r="AN189" s="31">
        <f>MIN(AN$5,T188+AD189)</f>
        <v>0.0</v>
      </c>
      <c r="AO189" s="31">
        <f>MIN(AO$5,U188+AE189)</f>
        <v>0.0</v>
      </c>
      <c r="AP189" s="31">
        <f>MIN(AP$5,V188+AF189)</f>
        <v>0.0</v>
      </c>
      <c r="AQ189" s="31">
        <f>MIN(AQ$5,W188+AG189)</f>
        <v>0.0</v>
      </c>
      <c r="AR189" s="31">
        <f>MIN(AR$5,X188+AH189)</f>
        <v>0.0</v>
      </c>
      <c r="AS189" s="31">
        <f>MIN(AS$5,Y188+AI189)</f>
        <v>0.0</v>
      </c>
      <c r="AT189" s="31">
        <f>MIN(AT$5,Z188+AJ189)</f>
        <v>0.0</v>
      </c>
      <c r="AU189" s="31">
        <f>MIN(AU$5,AA188+AK189)</f>
        <v>0.0</v>
      </c>
    </row>
    <row r="190">
      <c r="A190" s="25" t="str">
        <f>IF(F189&gt;0.005,185,"")</f>
        <v/>
      </c>
      <c r="B190" s="33" t="str">
        <f>IF(A190="","",EDATE(Долги!$D$5,184))</f>
        <v/>
      </c>
      <c r="C190" s="31">
        <f>SUM(H190:Q190)</f>
        <v>0.0</v>
      </c>
      <c r="D190" s="31">
        <f>SUM(AB190:AK190)</f>
        <v>0.0</v>
      </c>
      <c r="E190" s="31">
        <f>C190-D190</f>
        <v>0.0</v>
      </c>
      <c r="F190" s="31">
        <f>SUM(R190:AA190)</f>
        <v>0.0</v>
      </c>
      <c r="G190" s="34" t="str">
        <f>IF(OR(A190="",$F$5&lt;=0),"",REPT("█",ROUND(20*F190/$F$5,0)))</f>
        <v/>
      </c>
      <c r="H190" s="31">
        <f>AL190+MIN(R189+AB190-AL190,MAX(0,ROUND(Долги!$D$19-SUM($AL190:$AU190),2)))</f>
        <v>0.0</v>
      </c>
      <c r="I190" s="31">
        <f>AM190+MIN(S189+AC190-AM190,MAX(0,ROUND(ROUND(Долги!$D$19-SUM($AL190:$AU190),2)-(SUM($H190:H190)-SUM($AL190:AL190)),2)))</f>
        <v>0.0</v>
      </c>
      <c r="J190" s="31">
        <f>AN190+MIN(T189+AD190-AN190,MAX(0,ROUND(ROUND(Долги!$D$19-SUM($AL190:$AU190),2)-(SUM($H190:I190)-SUM($AL190:AM190)),2)))</f>
        <v>0.0</v>
      </c>
      <c r="K190" s="31">
        <f>AO190+MIN(U189+AE190-AO190,MAX(0,ROUND(ROUND(Долги!$D$19-SUM($AL190:$AU190),2)-(SUM($H190:J190)-SUM($AL190:AN190)),2)))</f>
        <v>0.0</v>
      </c>
      <c r="L190" s="31">
        <f>AP190+MIN(V189+AF190-AP190,MAX(0,ROUND(ROUND(Долги!$D$19-SUM($AL190:$AU190),2)-(SUM($H190:K190)-SUM($AL190:AO190)),2)))</f>
        <v>0.0</v>
      </c>
      <c r="M190" s="31">
        <f>AQ190+MIN(W189+AG190-AQ190,MAX(0,ROUND(ROUND(Долги!$D$19-SUM($AL190:$AU190),2)-(SUM($H190:L190)-SUM($AL190:AP190)),2)))</f>
        <v>0.0</v>
      </c>
      <c r="N190" s="31">
        <f>AR190+MIN(X189+AH190-AR190,MAX(0,ROUND(ROUND(Долги!$D$19-SUM($AL190:$AU190),2)-(SUM($H190:M190)-SUM($AL190:AQ190)),2)))</f>
        <v>0.0</v>
      </c>
      <c r="O190" s="31">
        <f>AS190+MIN(Y189+AI190-AS190,MAX(0,ROUND(ROUND(Долги!$D$19-SUM($AL190:$AU190),2)-(SUM($H190:N190)-SUM($AL190:AR190)),2)))</f>
        <v>0.0</v>
      </c>
      <c r="P190" s="31">
        <f>AT190+MIN(Z189+AJ190-AT190,MAX(0,ROUND(ROUND(Долги!$D$19-SUM($AL190:$AU190),2)-(SUM($H190:O190)-SUM($AL190:AS190)),2)))</f>
        <v>0.0</v>
      </c>
      <c r="Q190" s="31">
        <f>AU190+MIN(AA189+AK190-AU190,MAX(0,ROUND(ROUND(Долги!$D$19-SUM($AL190:$AU190),2)-(SUM($H190:P190)-SUM($AL190:AT190)),2)))</f>
        <v>0.0</v>
      </c>
      <c r="R190" s="31">
        <f>IF(R189+AB190-H190&lt;=0.01,0,ROUND(R189+AB190-H190,2))</f>
        <v>0.0</v>
      </c>
      <c r="S190" s="31">
        <f>IF(S189+AC190-I190&lt;=0.01,0,ROUND(S189+AC190-I190,2))</f>
        <v>0.0</v>
      </c>
      <c r="T190" s="31">
        <f>IF(T189+AD190-J190&lt;=0.01,0,ROUND(T189+AD190-J190,2))</f>
        <v>0.0</v>
      </c>
      <c r="U190" s="31">
        <f>IF(U189+AE190-K190&lt;=0.01,0,ROUND(U189+AE190-K190,2))</f>
        <v>0.0</v>
      </c>
      <c r="V190" s="31">
        <f>IF(V189+AF190-L190&lt;=0.01,0,ROUND(V189+AF190-L190,2))</f>
        <v>0.0</v>
      </c>
      <c r="W190" s="31">
        <f>IF(W189+AG190-M190&lt;=0.01,0,ROUND(W189+AG190-M190,2))</f>
        <v>0.0</v>
      </c>
      <c r="X190" s="31">
        <f>IF(X189+AH190-N190&lt;=0.01,0,ROUND(X189+AH190-N190,2))</f>
        <v>0.0</v>
      </c>
      <c r="Y190" s="31">
        <f>IF(Y189+AI190-O190&lt;=0.01,0,ROUND(Y189+AI190-O190,2))</f>
        <v>0.0</v>
      </c>
      <c r="Z190" s="31">
        <f>IF(Z189+AJ190-P190&lt;=0.01,0,ROUND(Z189+AJ190-P190,2))</f>
        <v>0.0</v>
      </c>
      <c r="AA190" s="31">
        <f>IF(AA189+AK190-Q190&lt;=0.01,0,ROUND(AA189+AK190-Q190,2))</f>
        <v>0.0</v>
      </c>
      <c r="AB190" s="31">
        <f>ROUND(R189*AB$5/1200,2)</f>
        <v>0.0</v>
      </c>
      <c r="AC190" s="31">
        <f>ROUND(S189*AC$5/1200,2)</f>
        <v>0.0</v>
      </c>
      <c r="AD190" s="31">
        <f>ROUND(T189*AD$5/1200,2)</f>
        <v>0.0</v>
      </c>
      <c r="AE190" s="31">
        <f>ROUND(U189*AE$5/1200,2)</f>
        <v>0.0</v>
      </c>
      <c r="AF190" s="31">
        <f>ROUND(V189*AF$5/1200,2)</f>
        <v>0.0</v>
      </c>
      <c r="AG190" s="31">
        <f>ROUND(W189*AG$5/1200,2)</f>
        <v>0.0</v>
      </c>
      <c r="AH190" s="31">
        <f>ROUND(X189*AH$5/1200,2)</f>
        <v>0.0</v>
      </c>
      <c r="AI190" s="31">
        <f>ROUND(Y189*AI$5/1200,2)</f>
        <v>0.0</v>
      </c>
      <c r="AJ190" s="31">
        <f>ROUND(Z189*AJ$5/1200,2)</f>
        <v>0.0</v>
      </c>
      <c r="AK190" s="31">
        <f>ROUND(AA189*AK$5/1200,2)</f>
        <v>0.0</v>
      </c>
      <c r="AL190" s="31">
        <f>MIN(AL$5,R189+AB190)</f>
        <v>0.0</v>
      </c>
      <c r="AM190" s="31">
        <f>MIN(AM$5,S189+AC190)</f>
        <v>0.0</v>
      </c>
      <c r="AN190" s="31">
        <f>MIN(AN$5,T189+AD190)</f>
        <v>0.0</v>
      </c>
      <c r="AO190" s="31">
        <f>MIN(AO$5,U189+AE190)</f>
        <v>0.0</v>
      </c>
      <c r="AP190" s="31">
        <f>MIN(AP$5,V189+AF190)</f>
        <v>0.0</v>
      </c>
      <c r="AQ190" s="31">
        <f>MIN(AQ$5,W189+AG190)</f>
        <v>0.0</v>
      </c>
      <c r="AR190" s="31">
        <f>MIN(AR$5,X189+AH190)</f>
        <v>0.0</v>
      </c>
      <c r="AS190" s="31">
        <f>MIN(AS$5,Y189+AI190)</f>
        <v>0.0</v>
      </c>
      <c r="AT190" s="31">
        <f>MIN(AT$5,Z189+AJ190)</f>
        <v>0.0</v>
      </c>
      <c r="AU190" s="31">
        <f>MIN(AU$5,AA189+AK190)</f>
        <v>0.0</v>
      </c>
    </row>
    <row r="191">
      <c r="A191" s="25" t="str">
        <f>IF(F190&gt;0.005,186,"")</f>
        <v/>
      </c>
      <c r="B191" s="33" t="str">
        <f>IF(A191="","",EDATE(Долги!$D$5,185))</f>
        <v/>
      </c>
      <c r="C191" s="31">
        <f>SUM(H191:Q191)</f>
        <v>0.0</v>
      </c>
      <c r="D191" s="31">
        <f>SUM(AB191:AK191)</f>
        <v>0.0</v>
      </c>
      <c r="E191" s="31">
        <f>C191-D191</f>
        <v>0.0</v>
      </c>
      <c r="F191" s="31">
        <f>SUM(R191:AA191)</f>
        <v>0.0</v>
      </c>
      <c r="G191" s="34" t="str">
        <f>IF(OR(A191="",$F$5&lt;=0),"",REPT("█",ROUND(20*F191/$F$5,0)))</f>
        <v/>
      </c>
      <c r="H191" s="31">
        <f>AL191+MIN(R190+AB191-AL191,MAX(0,ROUND(Долги!$D$19-SUM($AL191:$AU191),2)))</f>
        <v>0.0</v>
      </c>
      <c r="I191" s="31">
        <f>AM191+MIN(S190+AC191-AM191,MAX(0,ROUND(ROUND(Долги!$D$19-SUM($AL191:$AU191),2)-(SUM($H191:H191)-SUM($AL191:AL191)),2)))</f>
        <v>0.0</v>
      </c>
      <c r="J191" s="31">
        <f>AN191+MIN(T190+AD191-AN191,MAX(0,ROUND(ROUND(Долги!$D$19-SUM($AL191:$AU191),2)-(SUM($H191:I191)-SUM($AL191:AM191)),2)))</f>
        <v>0.0</v>
      </c>
      <c r="K191" s="31">
        <f>AO191+MIN(U190+AE191-AO191,MAX(0,ROUND(ROUND(Долги!$D$19-SUM($AL191:$AU191),2)-(SUM($H191:J191)-SUM($AL191:AN191)),2)))</f>
        <v>0.0</v>
      </c>
      <c r="L191" s="31">
        <f>AP191+MIN(V190+AF191-AP191,MAX(0,ROUND(ROUND(Долги!$D$19-SUM($AL191:$AU191),2)-(SUM($H191:K191)-SUM($AL191:AO191)),2)))</f>
        <v>0.0</v>
      </c>
      <c r="M191" s="31">
        <f>AQ191+MIN(W190+AG191-AQ191,MAX(0,ROUND(ROUND(Долги!$D$19-SUM($AL191:$AU191),2)-(SUM($H191:L191)-SUM($AL191:AP191)),2)))</f>
        <v>0.0</v>
      </c>
      <c r="N191" s="31">
        <f>AR191+MIN(X190+AH191-AR191,MAX(0,ROUND(ROUND(Долги!$D$19-SUM($AL191:$AU191),2)-(SUM($H191:M191)-SUM($AL191:AQ191)),2)))</f>
        <v>0.0</v>
      </c>
      <c r="O191" s="31">
        <f>AS191+MIN(Y190+AI191-AS191,MAX(0,ROUND(ROUND(Долги!$D$19-SUM($AL191:$AU191),2)-(SUM($H191:N191)-SUM($AL191:AR191)),2)))</f>
        <v>0.0</v>
      </c>
      <c r="P191" s="31">
        <f>AT191+MIN(Z190+AJ191-AT191,MAX(0,ROUND(ROUND(Долги!$D$19-SUM($AL191:$AU191),2)-(SUM($H191:O191)-SUM($AL191:AS191)),2)))</f>
        <v>0.0</v>
      </c>
      <c r="Q191" s="31">
        <f>AU191+MIN(AA190+AK191-AU191,MAX(0,ROUND(ROUND(Долги!$D$19-SUM($AL191:$AU191),2)-(SUM($H191:P191)-SUM($AL191:AT191)),2)))</f>
        <v>0.0</v>
      </c>
      <c r="R191" s="31">
        <f>IF(R190+AB191-H191&lt;=0.01,0,ROUND(R190+AB191-H191,2))</f>
        <v>0.0</v>
      </c>
      <c r="S191" s="31">
        <f>IF(S190+AC191-I191&lt;=0.01,0,ROUND(S190+AC191-I191,2))</f>
        <v>0.0</v>
      </c>
      <c r="T191" s="31">
        <f>IF(T190+AD191-J191&lt;=0.01,0,ROUND(T190+AD191-J191,2))</f>
        <v>0.0</v>
      </c>
      <c r="U191" s="31">
        <f>IF(U190+AE191-K191&lt;=0.01,0,ROUND(U190+AE191-K191,2))</f>
        <v>0.0</v>
      </c>
      <c r="V191" s="31">
        <f>IF(V190+AF191-L191&lt;=0.01,0,ROUND(V190+AF191-L191,2))</f>
        <v>0.0</v>
      </c>
      <c r="W191" s="31">
        <f>IF(W190+AG191-M191&lt;=0.01,0,ROUND(W190+AG191-M191,2))</f>
        <v>0.0</v>
      </c>
      <c r="X191" s="31">
        <f>IF(X190+AH191-N191&lt;=0.01,0,ROUND(X190+AH191-N191,2))</f>
        <v>0.0</v>
      </c>
      <c r="Y191" s="31">
        <f>IF(Y190+AI191-O191&lt;=0.01,0,ROUND(Y190+AI191-O191,2))</f>
        <v>0.0</v>
      </c>
      <c r="Z191" s="31">
        <f>IF(Z190+AJ191-P191&lt;=0.01,0,ROUND(Z190+AJ191-P191,2))</f>
        <v>0.0</v>
      </c>
      <c r="AA191" s="31">
        <f>IF(AA190+AK191-Q191&lt;=0.01,0,ROUND(AA190+AK191-Q191,2))</f>
        <v>0.0</v>
      </c>
      <c r="AB191" s="31">
        <f>ROUND(R190*AB$5/1200,2)</f>
        <v>0.0</v>
      </c>
      <c r="AC191" s="31">
        <f>ROUND(S190*AC$5/1200,2)</f>
        <v>0.0</v>
      </c>
      <c r="AD191" s="31">
        <f>ROUND(T190*AD$5/1200,2)</f>
        <v>0.0</v>
      </c>
      <c r="AE191" s="31">
        <f>ROUND(U190*AE$5/1200,2)</f>
        <v>0.0</v>
      </c>
      <c r="AF191" s="31">
        <f>ROUND(V190*AF$5/1200,2)</f>
        <v>0.0</v>
      </c>
      <c r="AG191" s="31">
        <f>ROUND(W190*AG$5/1200,2)</f>
        <v>0.0</v>
      </c>
      <c r="AH191" s="31">
        <f>ROUND(X190*AH$5/1200,2)</f>
        <v>0.0</v>
      </c>
      <c r="AI191" s="31">
        <f>ROUND(Y190*AI$5/1200,2)</f>
        <v>0.0</v>
      </c>
      <c r="AJ191" s="31">
        <f>ROUND(Z190*AJ$5/1200,2)</f>
        <v>0.0</v>
      </c>
      <c r="AK191" s="31">
        <f>ROUND(AA190*AK$5/1200,2)</f>
        <v>0.0</v>
      </c>
      <c r="AL191" s="31">
        <f>MIN(AL$5,R190+AB191)</f>
        <v>0.0</v>
      </c>
      <c r="AM191" s="31">
        <f>MIN(AM$5,S190+AC191)</f>
        <v>0.0</v>
      </c>
      <c r="AN191" s="31">
        <f>MIN(AN$5,T190+AD191)</f>
        <v>0.0</v>
      </c>
      <c r="AO191" s="31">
        <f>MIN(AO$5,U190+AE191)</f>
        <v>0.0</v>
      </c>
      <c r="AP191" s="31">
        <f>MIN(AP$5,V190+AF191)</f>
        <v>0.0</v>
      </c>
      <c r="AQ191" s="31">
        <f>MIN(AQ$5,W190+AG191)</f>
        <v>0.0</v>
      </c>
      <c r="AR191" s="31">
        <f>MIN(AR$5,X190+AH191)</f>
        <v>0.0</v>
      </c>
      <c r="AS191" s="31">
        <f>MIN(AS$5,Y190+AI191)</f>
        <v>0.0</v>
      </c>
      <c r="AT191" s="31">
        <f>MIN(AT$5,Z190+AJ191)</f>
        <v>0.0</v>
      </c>
      <c r="AU191" s="31">
        <f>MIN(AU$5,AA190+AK191)</f>
        <v>0.0</v>
      </c>
    </row>
    <row r="192">
      <c r="A192" s="25" t="str">
        <f>IF(F191&gt;0.005,187,"")</f>
        <v/>
      </c>
      <c r="B192" s="33" t="str">
        <f>IF(A192="","",EDATE(Долги!$D$5,186))</f>
        <v/>
      </c>
      <c r="C192" s="31">
        <f>SUM(H192:Q192)</f>
        <v>0.0</v>
      </c>
      <c r="D192" s="31">
        <f>SUM(AB192:AK192)</f>
        <v>0.0</v>
      </c>
      <c r="E192" s="31">
        <f>C192-D192</f>
        <v>0.0</v>
      </c>
      <c r="F192" s="31">
        <f>SUM(R192:AA192)</f>
        <v>0.0</v>
      </c>
      <c r="G192" s="34" t="str">
        <f>IF(OR(A192="",$F$5&lt;=0),"",REPT("█",ROUND(20*F192/$F$5,0)))</f>
        <v/>
      </c>
      <c r="H192" s="31">
        <f>AL192+MIN(R191+AB192-AL192,MAX(0,ROUND(Долги!$D$19-SUM($AL192:$AU192),2)))</f>
        <v>0.0</v>
      </c>
      <c r="I192" s="31">
        <f>AM192+MIN(S191+AC192-AM192,MAX(0,ROUND(ROUND(Долги!$D$19-SUM($AL192:$AU192),2)-(SUM($H192:H192)-SUM($AL192:AL192)),2)))</f>
        <v>0.0</v>
      </c>
      <c r="J192" s="31">
        <f>AN192+MIN(T191+AD192-AN192,MAX(0,ROUND(ROUND(Долги!$D$19-SUM($AL192:$AU192),2)-(SUM($H192:I192)-SUM($AL192:AM192)),2)))</f>
        <v>0.0</v>
      </c>
      <c r="K192" s="31">
        <f>AO192+MIN(U191+AE192-AO192,MAX(0,ROUND(ROUND(Долги!$D$19-SUM($AL192:$AU192),2)-(SUM($H192:J192)-SUM($AL192:AN192)),2)))</f>
        <v>0.0</v>
      </c>
      <c r="L192" s="31">
        <f>AP192+MIN(V191+AF192-AP192,MAX(0,ROUND(ROUND(Долги!$D$19-SUM($AL192:$AU192),2)-(SUM($H192:K192)-SUM($AL192:AO192)),2)))</f>
        <v>0.0</v>
      </c>
      <c r="M192" s="31">
        <f>AQ192+MIN(W191+AG192-AQ192,MAX(0,ROUND(ROUND(Долги!$D$19-SUM($AL192:$AU192),2)-(SUM($H192:L192)-SUM($AL192:AP192)),2)))</f>
        <v>0.0</v>
      </c>
      <c r="N192" s="31">
        <f>AR192+MIN(X191+AH192-AR192,MAX(0,ROUND(ROUND(Долги!$D$19-SUM($AL192:$AU192),2)-(SUM($H192:M192)-SUM($AL192:AQ192)),2)))</f>
        <v>0.0</v>
      </c>
      <c r="O192" s="31">
        <f>AS192+MIN(Y191+AI192-AS192,MAX(0,ROUND(ROUND(Долги!$D$19-SUM($AL192:$AU192),2)-(SUM($H192:N192)-SUM($AL192:AR192)),2)))</f>
        <v>0.0</v>
      </c>
      <c r="P192" s="31">
        <f>AT192+MIN(Z191+AJ192-AT192,MAX(0,ROUND(ROUND(Долги!$D$19-SUM($AL192:$AU192),2)-(SUM($H192:O192)-SUM($AL192:AS192)),2)))</f>
        <v>0.0</v>
      </c>
      <c r="Q192" s="31">
        <f>AU192+MIN(AA191+AK192-AU192,MAX(0,ROUND(ROUND(Долги!$D$19-SUM($AL192:$AU192),2)-(SUM($H192:P192)-SUM($AL192:AT192)),2)))</f>
        <v>0.0</v>
      </c>
      <c r="R192" s="31">
        <f>IF(R191+AB192-H192&lt;=0.01,0,ROUND(R191+AB192-H192,2))</f>
        <v>0.0</v>
      </c>
      <c r="S192" s="31">
        <f>IF(S191+AC192-I192&lt;=0.01,0,ROUND(S191+AC192-I192,2))</f>
        <v>0.0</v>
      </c>
      <c r="T192" s="31">
        <f>IF(T191+AD192-J192&lt;=0.01,0,ROUND(T191+AD192-J192,2))</f>
        <v>0.0</v>
      </c>
      <c r="U192" s="31">
        <f>IF(U191+AE192-K192&lt;=0.01,0,ROUND(U191+AE192-K192,2))</f>
        <v>0.0</v>
      </c>
      <c r="V192" s="31">
        <f>IF(V191+AF192-L192&lt;=0.01,0,ROUND(V191+AF192-L192,2))</f>
        <v>0.0</v>
      </c>
      <c r="W192" s="31">
        <f>IF(W191+AG192-M192&lt;=0.01,0,ROUND(W191+AG192-M192,2))</f>
        <v>0.0</v>
      </c>
      <c r="X192" s="31">
        <f>IF(X191+AH192-N192&lt;=0.01,0,ROUND(X191+AH192-N192,2))</f>
        <v>0.0</v>
      </c>
      <c r="Y192" s="31">
        <f>IF(Y191+AI192-O192&lt;=0.01,0,ROUND(Y191+AI192-O192,2))</f>
        <v>0.0</v>
      </c>
      <c r="Z192" s="31">
        <f>IF(Z191+AJ192-P192&lt;=0.01,0,ROUND(Z191+AJ192-P192,2))</f>
        <v>0.0</v>
      </c>
      <c r="AA192" s="31">
        <f>IF(AA191+AK192-Q192&lt;=0.01,0,ROUND(AA191+AK192-Q192,2))</f>
        <v>0.0</v>
      </c>
      <c r="AB192" s="31">
        <f>ROUND(R191*AB$5/1200,2)</f>
        <v>0.0</v>
      </c>
      <c r="AC192" s="31">
        <f>ROUND(S191*AC$5/1200,2)</f>
        <v>0.0</v>
      </c>
      <c r="AD192" s="31">
        <f>ROUND(T191*AD$5/1200,2)</f>
        <v>0.0</v>
      </c>
      <c r="AE192" s="31">
        <f>ROUND(U191*AE$5/1200,2)</f>
        <v>0.0</v>
      </c>
      <c r="AF192" s="31">
        <f>ROUND(V191*AF$5/1200,2)</f>
        <v>0.0</v>
      </c>
      <c r="AG192" s="31">
        <f>ROUND(W191*AG$5/1200,2)</f>
        <v>0.0</v>
      </c>
      <c r="AH192" s="31">
        <f>ROUND(X191*AH$5/1200,2)</f>
        <v>0.0</v>
      </c>
      <c r="AI192" s="31">
        <f>ROUND(Y191*AI$5/1200,2)</f>
        <v>0.0</v>
      </c>
      <c r="AJ192" s="31">
        <f>ROUND(Z191*AJ$5/1200,2)</f>
        <v>0.0</v>
      </c>
      <c r="AK192" s="31">
        <f>ROUND(AA191*AK$5/1200,2)</f>
        <v>0.0</v>
      </c>
      <c r="AL192" s="31">
        <f>MIN(AL$5,R191+AB192)</f>
        <v>0.0</v>
      </c>
      <c r="AM192" s="31">
        <f>MIN(AM$5,S191+AC192)</f>
        <v>0.0</v>
      </c>
      <c r="AN192" s="31">
        <f>MIN(AN$5,T191+AD192)</f>
        <v>0.0</v>
      </c>
      <c r="AO192" s="31">
        <f>MIN(AO$5,U191+AE192)</f>
        <v>0.0</v>
      </c>
      <c r="AP192" s="31">
        <f>MIN(AP$5,V191+AF192)</f>
        <v>0.0</v>
      </c>
      <c r="AQ192" s="31">
        <f>MIN(AQ$5,W191+AG192)</f>
        <v>0.0</v>
      </c>
      <c r="AR192" s="31">
        <f>MIN(AR$5,X191+AH192)</f>
        <v>0.0</v>
      </c>
      <c r="AS192" s="31">
        <f>MIN(AS$5,Y191+AI192)</f>
        <v>0.0</v>
      </c>
      <c r="AT192" s="31">
        <f>MIN(AT$5,Z191+AJ192)</f>
        <v>0.0</v>
      </c>
      <c r="AU192" s="31">
        <f>MIN(AU$5,AA191+AK192)</f>
        <v>0.0</v>
      </c>
    </row>
    <row r="193">
      <c r="A193" s="25" t="str">
        <f>IF(F192&gt;0.005,188,"")</f>
        <v/>
      </c>
      <c r="B193" s="33" t="str">
        <f>IF(A193="","",EDATE(Долги!$D$5,187))</f>
        <v/>
      </c>
      <c r="C193" s="31">
        <f>SUM(H193:Q193)</f>
        <v>0.0</v>
      </c>
      <c r="D193" s="31">
        <f>SUM(AB193:AK193)</f>
        <v>0.0</v>
      </c>
      <c r="E193" s="31">
        <f>C193-D193</f>
        <v>0.0</v>
      </c>
      <c r="F193" s="31">
        <f>SUM(R193:AA193)</f>
        <v>0.0</v>
      </c>
      <c r="G193" s="34" t="str">
        <f>IF(OR(A193="",$F$5&lt;=0),"",REPT("█",ROUND(20*F193/$F$5,0)))</f>
        <v/>
      </c>
      <c r="H193" s="31">
        <f>AL193+MIN(R192+AB193-AL193,MAX(0,ROUND(Долги!$D$19-SUM($AL193:$AU193),2)))</f>
        <v>0.0</v>
      </c>
      <c r="I193" s="31">
        <f>AM193+MIN(S192+AC193-AM193,MAX(0,ROUND(ROUND(Долги!$D$19-SUM($AL193:$AU193),2)-(SUM($H193:H193)-SUM($AL193:AL193)),2)))</f>
        <v>0.0</v>
      </c>
      <c r="J193" s="31">
        <f>AN193+MIN(T192+AD193-AN193,MAX(0,ROUND(ROUND(Долги!$D$19-SUM($AL193:$AU193),2)-(SUM($H193:I193)-SUM($AL193:AM193)),2)))</f>
        <v>0.0</v>
      </c>
      <c r="K193" s="31">
        <f>AO193+MIN(U192+AE193-AO193,MAX(0,ROUND(ROUND(Долги!$D$19-SUM($AL193:$AU193),2)-(SUM($H193:J193)-SUM($AL193:AN193)),2)))</f>
        <v>0.0</v>
      </c>
      <c r="L193" s="31">
        <f>AP193+MIN(V192+AF193-AP193,MAX(0,ROUND(ROUND(Долги!$D$19-SUM($AL193:$AU193),2)-(SUM($H193:K193)-SUM($AL193:AO193)),2)))</f>
        <v>0.0</v>
      </c>
      <c r="M193" s="31">
        <f>AQ193+MIN(W192+AG193-AQ193,MAX(0,ROUND(ROUND(Долги!$D$19-SUM($AL193:$AU193),2)-(SUM($H193:L193)-SUM($AL193:AP193)),2)))</f>
        <v>0.0</v>
      </c>
      <c r="N193" s="31">
        <f>AR193+MIN(X192+AH193-AR193,MAX(0,ROUND(ROUND(Долги!$D$19-SUM($AL193:$AU193),2)-(SUM($H193:M193)-SUM($AL193:AQ193)),2)))</f>
        <v>0.0</v>
      </c>
      <c r="O193" s="31">
        <f>AS193+MIN(Y192+AI193-AS193,MAX(0,ROUND(ROUND(Долги!$D$19-SUM($AL193:$AU193),2)-(SUM($H193:N193)-SUM($AL193:AR193)),2)))</f>
        <v>0.0</v>
      </c>
      <c r="P193" s="31">
        <f>AT193+MIN(Z192+AJ193-AT193,MAX(0,ROUND(ROUND(Долги!$D$19-SUM($AL193:$AU193),2)-(SUM($H193:O193)-SUM($AL193:AS193)),2)))</f>
        <v>0.0</v>
      </c>
      <c r="Q193" s="31">
        <f>AU193+MIN(AA192+AK193-AU193,MAX(0,ROUND(ROUND(Долги!$D$19-SUM($AL193:$AU193),2)-(SUM($H193:P193)-SUM($AL193:AT193)),2)))</f>
        <v>0.0</v>
      </c>
      <c r="R193" s="31">
        <f>IF(R192+AB193-H193&lt;=0.01,0,ROUND(R192+AB193-H193,2))</f>
        <v>0.0</v>
      </c>
      <c r="S193" s="31">
        <f>IF(S192+AC193-I193&lt;=0.01,0,ROUND(S192+AC193-I193,2))</f>
        <v>0.0</v>
      </c>
      <c r="T193" s="31">
        <f>IF(T192+AD193-J193&lt;=0.01,0,ROUND(T192+AD193-J193,2))</f>
        <v>0.0</v>
      </c>
      <c r="U193" s="31">
        <f>IF(U192+AE193-K193&lt;=0.01,0,ROUND(U192+AE193-K193,2))</f>
        <v>0.0</v>
      </c>
      <c r="V193" s="31">
        <f>IF(V192+AF193-L193&lt;=0.01,0,ROUND(V192+AF193-L193,2))</f>
        <v>0.0</v>
      </c>
      <c r="W193" s="31">
        <f>IF(W192+AG193-M193&lt;=0.01,0,ROUND(W192+AG193-M193,2))</f>
        <v>0.0</v>
      </c>
      <c r="X193" s="31">
        <f>IF(X192+AH193-N193&lt;=0.01,0,ROUND(X192+AH193-N193,2))</f>
        <v>0.0</v>
      </c>
      <c r="Y193" s="31">
        <f>IF(Y192+AI193-O193&lt;=0.01,0,ROUND(Y192+AI193-O193,2))</f>
        <v>0.0</v>
      </c>
      <c r="Z193" s="31">
        <f>IF(Z192+AJ193-P193&lt;=0.01,0,ROUND(Z192+AJ193-P193,2))</f>
        <v>0.0</v>
      </c>
      <c r="AA193" s="31">
        <f>IF(AA192+AK193-Q193&lt;=0.01,0,ROUND(AA192+AK193-Q193,2))</f>
        <v>0.0</v>
      </c>
      <c r="AB193" s="31">
        <f>ROUND(R192*AB$5/1200,2)</f>
        <v>0.0</v>
      </c>
      <c r="AC193" s="31">
        <f>ROUND(S192*AC$5/1200,2)</f>
        <v>0.0</v>
      </c>
      <c r="AD193" s="31">
        <f>ROUND(T192*AD$5/1200,2)</f>
        <v>0.0</v>
      </c>
      <c r="AE193" s="31">
        <f>ROUND(U192*AE$5/1200,2)</f>
        <v>0.0</v>
      </c>
      <c r="AF193" s="31">
        <f>ROUND(V192*AF$5/1200,2)</f>
        <v>0.0</v>
      </c>
      <c r="AG193" s="31">
        <f>ROUND(W192*AG$5/1200,2)</f>
        <v>0.0</v>
      </c>
      <c r="AH193" s="31">
        <f>ROUND(X192*AH$5/1200,2)</f>
        <v>0.0</v>
      </c>
      <c r="AI193" s="31">
        <f>ROUND(Y192*AI$5/1200,2)</f>
        <v>0.0</v>
      </c>
      <c r="AJ193" s="31">
        <f>ROUND(Z192*AJ$5/1200,2)</f>
        <v>0.0</v>
      </c>
      <c r="AK193" s="31">
        <f>ROUND(AA192*AK$5/1200,2)</f>
        <v>0.0</v>
      </c>
      <c r="AL193" s="31">
        <f>MIN(AL$5,R192+AB193)</f>
        <v>0.0</v>
      </c>
      <c r="AM193" s="31">
        <f>MIN(AM$5,S192+AC193)</f>
        <v>0.0</v>
      </c>
      <c r="AN193" s="31">
        <f>MIN(AN$5,T192+AD193)</f>
        <v>0.0</v>
      </c>
      <c r="AO193" s="31">
        <f>MIN(AO$5,U192+AE193)</f>
        <v>0.0</v>
      </c>
      <c r="AP193" s="31">
        <f>MIN(AP$5,V192+AF193)</f>
        <v>0.0</v>
      </c>
      <c r="AQ193" s="31">
        <f>MIN(AQ$5,W192+AG193)</f>
        <v>0.0</v>
      </c>
      <c r="AR193" s="31">
        <f>MIN(AR$5,X192+AH193)</f>
        <v>0.0</v>
      </c>
      <c r="AS193" s="31">
        <f>MIN(AS$5,Y192+AI193)</f>
        <v>0.0</v>
      </c>
      <c r="AT193" s="31">
        <f>MIN(AT$5,Z192+AJ193)</f>
        <v>0.0</v>
      </c>
      <c r="AU193" s="31">
        <f>MIN(AU$5,AA192+AK193)</f>
        <v>0.0</v>
      </c>
    </row>
    <row r="194">
      <c r="A194" s="25" t="str">
        <f>IF(F193&gt;0.005,189,"")</f>
        <v/>
      </c>
      <c r="B194" s="33" t="str">
        <f>IF(A194="","",EDATE(Долги!$D$5,188))</f>
        <v/>
      </c>
      <c r="C194" s="31">
        <f>SUM(H194:Q194)</f>
        <v>0.0</v>
      </c>
      <c r="D194" s="31">
        <f>SUM(AB194:AK194)</f>
        <v>0.0</v>
      </c>
      <c r="E194" s="31">
        <f>C194-D194</f>
        <v>0.0</v>
      </c>
      <c r="F194" s="31">
        <f>SUM(R194:AA194)</f>
        <v>0.0</v>
      </c>
      <c r="G194" s="34" t="str">
        <f>IF(OR(A194="",$F$5&lt;=0),"",REPT("█",ROUND(20*F194/$F$5,0)))</f>
        <v/>
      </c>
      <c r="H194" s="31">
        <f>AL194+MIN(R193+AB194-AL194,MAX(0,ROUND(Долги!$D$19-SUM($AL194:$AU194),2)))</f>
        <v>0.0</v>
      </c>
      <c r="I194" s="31">
        <f>AM194+MIN(S193+AC194-AM194,MAX(0,ROUND(ROUND(Долги!$D$19-SUM($AL194:$AU194),2)-(SUM($H194:H194)-SUM($AL194:AL194)),2)))</f>
        <v>0.0</v>
      </c>
      <c r="J194" s="31">
        <f>AN194+MIN(T193+AD194-AN194,MAX(0,ROUND(ROUND(Долги!$D$19-SUM($AL194:$AU194),2)-(SUM($H194:I194)-SUM($AL194:AM194)),2)))</f>
        <v>0.0</v>
      </c>
      <c r="K194" s="31">
        <f>AO194+MIN(U193+AE194-AO194,MAX(0,ROUND(ROUND(Долги!$D$19-SUM($AL194:$AU194),2)-(SUM($H194:J194)-SUM($AL194:AN194)),2)))</f>
        <v>0.0</v>
      </c>
      <c r="L194" s="31">
        <f>AP194+MIN(V193+AF194-AP194,MAX(0,ROUND(ROUND(Долги!$D$19-SUM($AL194:$AU194),2)-(SUM($H194:K194)-SUM($AL194:AO194)),2)))</f>
        <v>0.0</v>
      </c>
      <c r="M194" s="31">
        <f>AQ194+MIN(W193+AG194-AQ194,MAX(0,ROUND(ROUND(Долги!$D$19-SUM($AL194:$AU194),2)-(SUM($H194:L194)-SUM($AL194:AP194)),2)))</f>
        <v>0.0</v>
      </c>
      <c r="N194" s="31">
        <f>AR194+MIN(X193+AH194-AR194,MAX(0,ROUND(ROUND(Долги!$D$19-SUM($AL194:$AU194),2)-(SUM($H194:M194)-SUM($AL194:AQ194)),2)))</f>
        <v>0.0</v>
      </c>
      <c r="O194" s="31">
        <f>AS194+MIN(Y193+AI194-AS194,MAX(0,ROUND(ROUND(Долги!$D$19-SUM($AL194:$AU194),2)-(SUM($H194:N194)-SUM($AL194:AR194)),2)))</f>
        <v>0.0</v>
      </c>
      <c r="P194" s="31">
        <f>AT194+MIN(Z193+AJ194-AT194,MAX(0,ROUND(ROUND(Долги!$D$19-SUM($AL194:$AU194),2)-(SUM($H194:O194)-SUM($AL194:AS194)),2)))</f>
        <v>0.0</v>
      </c>
      <c r="Q194" s="31">
        <f>AU194+MIN(AA193+AK194-AU194,MAX(0,ROUND(ROUND(Долги!$D$19-SUM($AL194:$AU194),2)-(SUM($H194:P194)-SUM($AL194:AT194)),2)))</f>
        <v>0.0</v>
      </c>
      <c r="R194" s="31">
        <f>IF(R193+AB194-H194&lt;=0.01,0,ROUND(R193+AB194-H194,2))</f>
        <v>0.0</v>
      </c>
      <c r="S194" s="31">
        <f>IF(S193+AC194-I194&lt;=0.01,0,ROUND(S193+AC194-I194,2))</f>
        <v>0.0</v>
      </c>
      <c r="T194" s="31">
        <f>IF(T193+AD194-J194&lt;=0.01,0,ROUND(T193+AD194-J194,2))</f>
        <v>0.0</v>
      </c>
      <c r="U194" s="31">
        <f>IF(U193+AE194-K194&lt;=0.01,0,ROUND(U193+AE194-K194,2))</f>
        <v>0.0</v>
      </c>
      <c r="V194" s="31">
        <f>IF(V193+AF194-L194&lt;=0.01,0,ROUND(V193+AF194-L194,2))</f>
        <v>0.0</v>
      </c>
      <c r="W194" s="31">
        <f>IF(W193+AG194-M194&lt;=0.01,0,ROUND(W193+AG194-M194,2))</f>
        <v>0.0</v>
      </c>
      <c r="X194" s="31">
        <f>IF(X193+AH194-N194&lt;=0.01,0,ROUND(X193+AH194-N194,2))</f>
        <v>0.0</v>
      </c>
      <c r="Y194" s="31">
        <f>IF(Y193+AI194-O194&lt;=0.01,0,ROUND(Y193+AI194-O194,2))</f>
        <v>0.0</v>
      </c>
      <c r="Z194" s="31">
        <f>IF(Z193+AJ194-P194&lt;=0.01,0,ROUND(Z193+AJ194-P194,2))</f>
        <v>0.0</v>
      </c>
      <c r="AA194" s="31">
        <f>IF(AA193+AK194-Q194&lt;=0.01,0,ROUND(AA193+AK194-Q194,2))</f>
        <v>0.0</v>
      </c>
      <c r="AB194" s="31">
        <f>ROUND(R193*AB$5/1200,2)</f>
        <v>0.0</v>
      </c>
      <c r="AC194" s="31">
        <f>ROUND(S193*AC$5/1200,2)</f>
        <v>0.0</v>
      </c>
      <c r="AD194" s="31">
        <f>ROUND(T193*AD$5/1200,2)</f>
        <v>0.0</v>
      </c>
      <c r="AE194" s="31">
        <f>ROUND(U193*AE$5/1200,2)</f>
        <v>0.0</v>
      </c>
      <c r="AF194" s="31">
        <f>ROUND(V193*AF$5/1200,2)</f>
        <v>0.0</v>
      </c>
      <c r="AG194" s="31">
        <f>ROUND(W193*AG$5/1200,2)</f>
        <v>0.0</v>
      </c>
      <c r="AH194" s="31">
        <f>ROUND(X193*AH$5/1200,2)</f>
        <v>0.0</v>
      </c>
      <c r="AI194" s="31">
        <f>ROUND(Y193*AI$5/1200,2)</f>
        <v>0.0</v>
      </c>
      <c r="AJ194" s="31">
        <f>ROUND(Z193*AJ$5/1200,2)</f>
        <v>0.0</v>
      </c>
      <c r="AK194" s="31">
        <f>ROUND(AA193*AK$5/1200,2)</f>
        <v>0.0</v>
      </c>
      <c r="AL194" s="31">
        <f>MIN(AL$5,R193+AB194)</f>
        <v>0.0</v>
      </c>
      <c r="AM194" s="31">
        <f>MIN(AM$5,S193+AC194)</f>
        <v>0.0</v>
      </c>
      <c r="AN194" s="31">
        <f>MIN(AN$5,T193+AD194)</f>
        <v>0.0</v>
      </c>
      <c r="AO194" s="31">
        <f>MIN(AO$5,U193+AE194)</f>
        <v>0.0</v>
      </c>
      <c r="AP194" s="31">
        <f>MIN(AP$5,V193+AF194)</f>
        <v>0.0</v>
      </c>
      <c r="AQ194" s="31">
        <f>MIN(AQ$5,W193+AG194)</f>
        <v>0.0</v>
      </c>
      <c r="AR194" s="31">
        <f>MIN(AR$5,X193+AH194)</f>
        <v>0.0</v>
      </c>
      <c r="AS194" s="31">
        <f>MIN(AS$5,Y193+AI194)</f>
        <v>0.0</v>
      </c>
      <c r="AT194" s="31">
        <f>MIN(AT$5,Z193+AJ194)</f>
        <v>0.0</v>
      </c>
      <c r="AU194" s="31">
        <f>MIN(AU$5,AA193+AK194)</f>
        <v>0.0</v>
      </c>
    </row>
    <row r="195">
      <c r="A195" s="25" t="str">
        <f>IF(F194&gt;0.005,190,"")</f>
        <v/>
      </c>
      <c r="B195" s="33" t="str">
        <f>IF(A195="","",EDATE(Долги!$D$5,189))</f>
        <v/>
      </c>
      <c r="C195" s="31">
        <f>SUM(H195:Q195)</f>
        <v>0.0</v>
      </c>
      <c r="D195" s="31">
        <f>SUM(AB195:AK195)</f>
        <v>0.0</v>
      </c>
      <c r="E195" s="31">
        <f>C195-D195</f>
        <v>0.0</v>
      </c>
      <c r="F195" s="31">
        <f>SUM(R195:AA195)</f>
        <v>0.0</v>
      </c>
      <c r="G195" s="34" t="str">
        <f>IF(OR(A195="",$F$5&lt;=0),"",REPT("█",ROUND(20*F195/$F$5,0)))</f>
        <v/>
      </c>
      <c r="H195" s="31">
        <f>AL195+MIN(R194+AB195-AL195,MAX(0,ROUND(Долги!$D$19-SUM($AL195:$AU195),2)))</f>
        <v>0.0</v>
      </c>
      <c r="I195" s="31">
        <f>AM195+MIN(S194+AC195-AM195,MAX(0,ROUND(ROUND(Долги!$D$19-SUM($AL195:$AU195),2)-(SUM($H195:H195)-SUM($AL195:AL195)),2)))</f>
        <v>0.0</v>
      </c>
      <c r="J195" s="31">
        <f>AN195+MIN(T194+AD195-AN195,MAX(0,ROUND(ROUND(Долги!$D$19-SUM($AL195:$AU195),2)-(SUM($H195:I195)-SUM($AL195:AM195)),2)))</f>
        <v>0.0</v>
      </c>
      <c r="K195" s="31">
        <f>AO195+MIN(U194+AE195-AO195,MAX(0,ROUND(ROUND(Долги!$D$19-SUM($AL195:$AU195),2)-(SUM($H195:J195)-SUM($AL195:AN195)),2)))</f>
        <v>0.0</v>
      </c>
      <c r="L195" s="31">
        <f>AP195+MIN(V194+AF195-AP195,MAX(0,ROUND(ROUND(Долги!$D$19-SUM($AL195:$AU195),2)-(SUM($H195:K195)-SUM($AL195:AO195)),2)))</f>
        <v>0.0</v>
      </c>
      <c r="M195" s="31">
        <f>AQ195+MIN(W194+AG195-AQ195,MAX(0,ROUND(ROUND(Долги!$D$19-SUM($AL195:$AU195),2)-(SUM($H195:L195)-SUM($AL195:AP195)),2)))</f>
        <v>0.0</v>
      </c>
      <c r="N195" s="31">
        <f>AR195+MIN(X194+AH195-AR195,MAX(0,ROUND(ROUND(Долги!$D$19-SUM($AL195:$AU195),2)-(SUM($H195:M195)-SUM($AL195:AQ195)),2)))</f>
        <v>0.0</v>
      </c>
      <c r="O195" s="31">
        <f>AS195+MIN(Y194+AI195-AS195,MAX(0,ROUND(ROUND(Долги!$D$19-SUM($AL195:$AU195),2)-(SUM($H195:N195)-SUM($AL195:AR195)),2)))</f>
        <v>0.0</v>
      </c>
      <c r="P195" s="31">
        <f>AT195+MIN(Z194+AJ195-AT195,MAX(0,ROUND(ROUND(Долги!$D$19-SUM($AL195:$AU195),2)-(SUM($H195:O195)-SUM($AL195:AS195)),2)))</f>
        <v>0.0</v>
      </c>
      <c r="Q195" s="31">
        <f>AU195+MIN(AA194+AK195-AU195,MAX(0,ROUND(ROUND(Долги!$D$19-SUM($AL195:$AU195),2)-(SUM($H195:P195)-SUM($AL195:AT195)),2)))</f>
        <v>0.0</v>
      </c>
      <c r="R195" s="31">
        <f>IF(R194+AB195-H195&lt;=0.01,0,ROUND(R194+AB195-H195,2))</f>
        <v>0.0</v>
      </c>
      <c r="S195" s="31">
        <f>IF(S194+AC195-I195&lt;=0.01,0,ROUND(S194+AC195-I195,2))</f>
        <v>0.0</v>
      </c>
      <c r="T195" s="31">
        <f>IF(T194+AD195-J195&lt;=0.01,0,ROUND(T194+AD195-J195,2))</f>
        <v>0.0</v>
      </c>
      <c r="U195" s="31">
        <f>IF(U194+AE195-K195&lt;=0.01,0,ROUND(U194+AE195-K195,2))</f>
        <v>0.0</v>
      </c>
      <c r="V195" s="31">
        <f>IF(V194+AF195-L195&lt;=0.01,0,ROUND(V194+AF195-L195,2))</f>
        <v>0.0</v>
      </c>
      <c r="W195" s="31">
        <f>IF(W194+AG195-M195&lt;=0.01,0,ROUND(W194+AG195-M195,2))</f>
        <v>0.0</v>
      </c>
      <c r="X195" s="31">
        <f>IF(X194+AH195-N195&lt;=0.01,0,ROUND(X194+AH195-N195,2))</f>
        <v>0.0</v>
      </c>
      <c r="Y195" s="31">
        <f>IF(Y194+AI195-O195&lt;=0.01,0,ROUND(Y194+AI195-O195,2))</f>
        <v>0.0</v>
      </c>
      <c r="Z195" s="31">
        <f>IF(Z194+AJ195-P195&lt;=0.01,0,ROUND(Z194+AJ195-P195,2))</f>
        <v>0.0</v>
      </c>
      <c r="AA195" s="31">
        <f>IF(AA194+AK195-Q195&lt;=0.01,0,ROUND(AA194+AK195-Q195,2))</f>
        <v>0.0</v>
      </c>
      <c r="AB195" s="31">
        <f>ROUND(R194*AB$5/1200,2)</f>
        <v>0.0</v>
      </c>
      <c r="AC195" s="31">
        <f>ROUND(S194*AC$5/1200,2)</f>
        <v>0.0</v>
      </c>
      <c r="AD195" s="31">
        <f>ROUND(T194*AD$5/1200,2)</f>
        <v>0.0</v>
      </c>
      <c r="AE195" s="31">
        <f>ROUND(U194*AE$5/1200,2)</f>
        <v>0.0</v>
      </c>
      <c r="AF195" s="31">
        <f>ROUND(V194*AF$5/1200,2)</f>
        <v>0.0</v>
      </c>
      <c r="AG195" s="31">
        <f>ROUND(W194*AG$5/1200,2)</f>
        <v>0.0</v>
      </c>
      <c r="AH195" s="31">
        <f>ROUND(X194*AH$5/1200,2)</f>
        <v>0.0</v>
      </c>
      <c r="AI195" s="31">
        <f>ROUND(Y194*AI$5/1200,2)</f>
        <v>0.0</v>
      </c>
      <c r="AJ195" s="31">
        <f>ROUND(Z194*AJ$5/1200,2)</f>
        <v>0.0</v>
      </c>
      <c r="AK195" s="31">
        <f>ROUND(AA194*AK$5/1200,2)</f>
        <v>0.0</v>
      </c>
      <c r="AL195" s="31">
        <f>MIN(AL$5,R194+AB195)</f>
        <v>0.0</v>
      </c>
      <c r="AM195" s="31">
        <f>MIN(AM$5,S194+AC195)</f>
        <v>0.0</v>
      </c>
      <c r="AN195" s="31">
        <f>MIN(AN$5,T194+AD195)</f>
        <v>0.0</v>
      </c>
      <c r="AO195" s="31">
        <f>MIN(AO$5,U194+AE195)</f>
        <v>0.0</v>
      </c>
      <c r="AP195" s="31">
        <f>MIN(AP$5,V194+AF195)</f>
        <v>0.0</v>
      </c>
      <c r="AQ195" s="31">
        <f>MIN(AQ$5,W194+AG195)</f>
        <v>0.0</v>
      </c>
      <c r="AR195" s="31">
        <f>MIN(AR$5,X194+AH195)</f>
        <v>0.0</v>
      </c>
      <c r="AS195" s="31">
        <f>MIN(AS$5,Y194+AI195)</f>
        <v>0.0</v>
      </c>
      <c r="AT195" s="31">
        <f>MIN(AT$5,Z194+AJ195)</f>
        <v>0.0</v>
      </c>
      <c r="AU195" s="31">
        <f>MIN(AU$5,AA194+AK195)</f>
        <v>0.0</v>
      </c>
    </row>
    <row r="196">
      <c r="A196" s="25" t="str">
        <f>IF(F195&gt;0.005,191,"")</f>
        <v/>
      </c>
      <c r="B196" s="33" t="str">
        <f>IF(A196="","",EDATE(Долги!$D$5,190))</f>
        <v/>
      </c>
      <c r="C196" s="31">
        <f>SUM(H196:Q196)</f>
        <v>0.0</v>
      </c>
      <c r="D196" s="31">
        <f>SUM(AB196:AK196)</f>
        <v>0.0</v>
      </c>
      <c r="E196" s="31">
        <f>C196-D196</f>
        <v>0.0</v>
      </c>
      <c r="F196" s="31">
        <f>SUM(R196:AA196)</f>
        <v>0.0</v>
      </c>
      <c r="G196" s="34" t="str">
        <f>IF(OR(A196="",$F$5&lt;=0),"",REPT("█",ROUND(20*F196/$F$5,0)))</f>
        <v/>
      </c>
      <c r="H196" s="31">
        <f>AL196+MIN(R195+AB196-AL196,MAX(0,ROUND(Долги!$D$19-SUM($AL196:$AU196),2)))</f>
        <v>0.0</v>
      </c>
      <c r="I196" s="31">
        <f>AM196+MIN(S195+AC196-AM196,MAX(0,ROUND(ROUND(Долги!$D$19-SUM($AL196:$AU196),2)-(SUM($H196:H196)-SUM($AL196:AL196)),2)))</f>
        <v>0.0</v>
      </c>
      <c r="J196" s="31">
        <f>AN196+MIN(T195+AD196-AN196,MAX(0,ROUND(ROUND(Долги!$D$19-SUM($AL196:$AU196),2)-(SUM($H196:I196)-SUM($AL196:AM196)),2)))</f>
        <v>0.0</v>
      </c>
      <c r="K196" s="31">
        <f>AO196+MIN(U195+AE196-AO196,MAX(0,ROUND(ROUND(Долги!$D$19-SUM($AL196:$AU196),2)-(SUM($H196:J196)-SUM($AL196:AN196)),2)))</f>
        <v>0.0</v>
      </c>
      <c r="L196" s="31">
        <f>AP196+MIN(V195+AF196-AP196,MAX(0,ROUND(ROUND(Долги!$D$19-SUM($AL196:$AU196),2)-(SUM($H196:K196)-SUM($AL196:AO196)),2)))</f>
        <v>0.0</v>
      </c>
      <c r="M196" s="31">
        <f>AQ196+MIN(W195+AG196-AQ196,MAX(0,ROUND(ROUND(Долги!$D$19-SUM($AL196:$AU196),2)-(SUM($H196:L196)-SUM($AL196:AP196)),2)))</f>
        <v>0.0</v>
      </c>
      <c r="N196" s="31">
        <f>AR196+MIN(X195+AH196-AR196,MAX(0,ROUND(ROUND(Долги!$D$19-SUM($AL196:$AU196),2)-(SUM($H196:M196)-SUM($AL196:AQ196)),2)))</f>
        <v>0.0</v>
      </c>
      <c r="O196" s="31">
        <f>AS196+MIN(Y195+AI196-AS196,MAX(0,ROUND(ROUND(Долги!$D$19-SUM($AL196:$AU196),2)-(SUM($H196:N196)-SUM($AL196:AR196)),2)))</f>
        <v>0.0</v>
      </c>
      <c r="P196" s="31">
        <f>AT196+MIN(Z195+AJ196-AT196,MAX(0,ROUND(ROUND(Долги!$D$19-SUM($AL196:$AU196),2)-(SUM($H196:O196)-SUM($AL196:AS196)),2)))</f>
        <v>0.0</v>
      </c>
      <c r="Q196" s="31">
        <f>AU196+MIN(AA195+AK196-AU196,MAX(0,ROUND(ROUND(Долги!$D$19-SUM($AL196:$AU196),2)-(SUM($H196:P196)-SUM($AL196:AT196)),2)))</f>
        <v>0.0</v>
      </c>
      <c r="R196" s="31">
        <f>IF(R195+AB196-H196&lt;=0.01,0,ROUND(R195+AB196-H196,2))</f>
        <v>0.0</v>
      </c>
      <c r="S196" s="31">
        <f>IF(S195+AC196-I196&lt;=0.01,0,ROUND(S195+AC196-I196,2))</f>
        <v>0.0</v>
      </c>
      <c r="T196" s="31">
        <f>IF(T195+AD196-J196&lt;=0.01,0,ROUND(T195+AD196-J196,2))</f>
        <v>0.0</v>
      </c>
      <c r="U196" s="31">
        <f>IF(U195+AE196-K196&lt;=0.01,0,ROUND(U195+AE196-K196,2))</f>
        <v>0.0</v>
      </c>
      <c r="V196" s="31">
        <f>IF(V195+AF196-L196&lt;=0.01,0,ROUND(V195+AF196-L196,2))</f>
        <v>0.0</v>
      </c>
      <c r="W196" s="31">
        <f>IF(W195+AG196-M196&lt;=0.01,0,ROUND(W195+AG196-M196,2))</f>
        <v>0.0</v>
      </c>
      <c r="X196" s="31">
        <f>IF(X195+AH196-N196&lt;=0.01,0,ROUND(X195+AH196-N196,2))</f>
        <v>0.0</v>
      </c>
      <c r="Y196" s="31">
        <f>IF(Y195+AI196-O196&lt;=0.01,0,ROUND(Y195+AI196-O196,2))</f>
        <v>0.0</v>
      </c>
      <c r="Z196" s="31">
        <f>IF(Z195+AJ196-P196&lt;=0.01,0,ROUND(Z195+AJ196-P196,2))</f>
        <v>0.0</v>
      </c>
      <c r="AA196" s="31">
        <f>IF(AA195+AK196-Q196&lt;=0.01,0,ROUND(AA195+AK196-Q196,2))</f>
        <v>0.0</v>
      </c>
      <c r="AB196" s="31">
        <f>ROUND(R195*AB$5/1200,2)</f>
        <v>0.0</v>
      </c>
      <c r="AC196" s="31">
        <f>ROUND(S195*AC$5/1200,2)</f>
        <v>0.0</v>
      </c>
      <c r="AD196" s="31">
        <f>ROUND(T195*AD$5/1200,2)</f>
        <v>0.0</v>
      </c>
      <c r="AE196" s="31">
        <f>ROUND(U195*AE$5/1200,2)</f>
        <v>0.0</v>
      </c>
      <c r="AF196" s="31">
        <f>ROUND(V195*AF$5/1200,2)</f>
        <v>0.0</v>
      </c>
      <c r="AG196" s="31">
        <f>ROUND(W195*AG$5/1200,2)</f>
        <v>0.0</v>
      </c>
      <c r="AH196" s="31">
        <f>ROUND(X195*AH$5/1200,2)</f>
        <v>0.0</v>
      </c>
      <c r="AI196" s="31">
        <f>ROUND(Y195*AI$5/1200,2)</f>
        <v>0.0</v>
      </c>
      <c r="AJ196" s="31">
        <f>ROUND(Z195*AJ$5/1200,2)</f>
        <v>0.0</v>
      </c>
      <c r="AK196" s="31">
        <f>ROUND(AA195*AK$5/1200,2)</f>
        <v>0.0</v>
      </c>
      <c r="AL196" s="31">
        <f>MIN(AL$5,R195+AB196)</f>
        <v>0.0</v>
      </c>
      <c r="AM196" s="31">
        <f>MIN(AM$5,S195+AC196)</f>
        <v>0.0</v>
      </c>
      <c r="AN196" s="31">
        <f>MIN(AN$5,T195+AD196)</f>
        <v>0.0</v>
      </c>
      <c r="AO196" s="31">
        <f>MIN(AO$5,U195+AE196)</f>
        <v>0.0</v>
      </c>
      <c r="AP196" s="31">
        <f>MIN(AP$5,V195+AF196)</f>
        <v>0.0</v>
      </c>
      <c r="AQ196" s="31">
        <f>MIN(AQ$5,W195+AG196)</f>
        <v>0.0</v>
      </c>
      <c r="AR196" s="31">
        <f>MIN(AR$5,X195+AH196)</f>
        <v>0.0</v>
      </c>
      <c r="AS196" s="31">
        <f>MIN(AS$5,Y195+AI196)</f>
        <v>0.0</v>
      </c>
      <c r="AT196" s="31">
        <f>MIN(AT$5,Z195+AJ196)</f>
        <v>0.0</v>
      </c>
      <c r="AU196" s="31">
        <f>MIN(AU$5,AA195+AK196)</f>
        <v>0.0</v>
      </c>
    </row>
    <row r="197">
      <c r="A197" s="25" t="str">
        <f>IF(F196&gt;0.005,192,"")</f>
        <v/>
      </c>
      <c r="B197" s="33" t="str">
        <f>IF(A197="","",EDATE(Долги!$D$5,191))</f>
        <v/>
      </c>
      <c r="C197" s="31">
        <f>SUM(H197:Q197)</f>
        <v>0.0</v>
      </c>
      <c r="D197" s="31">
        <f>SUM(AB197:AK197)</f>
        <v>0.0</v>
      </c>
      <c r="E197" s="31">
        <f>C197-D197</f>
        <v>0.0</v>
      </c>
      <c r="F197" s="31">
        <f>SUM(R197:AA197)</f>
        <v>0.0</v>
      </c>
      <c r="G197" s="34" t="str">
        <f>IF(OR(A197="",$F$5&lt;=0),"",REPT("█",ROUND(20*F197/$F$5,0)))</f>
        <v/>
      </c>
      <c r="H197" s="31">
        <f>AL197+MIN(R196+AB197-AL197,MAX(0,ROUND(Долги!$D$19-SUM($AL197:$AU197),2)))</f>
        <v>0.0</v>
      </c>
      <c r="I197" s="31">
        <f>AM197+MIN(S196+AC197-AM197,MAX(0,ROUND(ROUND(Долги!$D$19-SUM($AL197:$AU197),2)-(SUM($H197:H197)-SUM($AL197:AL197)),2)))</f>
        <v>0.0</v>
      </c>
      <c r="J197" s="31">
        <f>AN197+MIN(T196+AD197-AN197,MAX(0,ROUND(ROUND(Долги!$D$19-SUM($AL197:$AU197),2)-(SUM($H197:I197)-SUM($AL197:AM197)),2)))</f>
        <v>0.0</v>
      </c>
      <c r="K197" s="31">
        <f>AO197+MIN(U196+AE197-AO197,MAX(0,ROUND(ROUND(Долги!$D$19-SUM($AL197:$AU197),2)-(SUM($H197:J197)-SUM($AL197:AN197)),2)))</f>
        <v>0.0</v>
      </c>
      <c r="L197" s="31">
        <f>AP197+MIN(V196+AF197-AP197,MAX(0,ROUND(ROUND(Долги!$D$19-SUM($AL197:$AU197),2)-(SUM($H197:K197)-SUM($AL197:AO197)),2)))</f>
        <v>0.0</v>
      </c>
      <c r="M197" s="31">
        <f>AQ197+MIN(W196+AG197-AQ197,MAX(0,ROUND(ROUND(Долги!$D$19-SUM($AL197:$AU197),2)-(SUM($H197:L197)-SUM($AL197:AP197)),2)))</f>
        <v>0.0</v>
      </c>
      <c r="N197" s="31">
        <f>AR197+MIN(X196+AH197-AR197,MAX(0,ROUND(ROUND(Долги!$D$19-SUM($AL197:$AU197),2)-(SUM($H197:M197)-SUM($AL197:AQ197)),2)))</f>
        <v>0.0</v>
      </c>
      <c r="O197" s="31">
        <f>AS197+MIN(Y196+AI197-AS197,MAX(0,ROUND(ROUND(Долги!$D$19-SUM($AL197:$AU197),2)-(SUM($H197:N197)-SUM($AL197:AR197)),2)))</f>
        <v>0.0</v>
      </c>
      <c r="P197" s="31">
        <f>AT197+MIN(Z196+AJ197-AT197,MAX(0,ROUND(ROUND(Долги!$D$19-SUM($AL197:$AU197),2)-(SUM($H197:O197)-SUM($AL197:AS197)),2)))</f>
        <v>0.0</v>
      </c>
      <c r="Q197" s="31">
        <f>AU197+MIN(AA196+AK197-AU197,MAX(0,ROUND(ROUND(Долги!$D$19-SUM($AL197:$AU197),2)-(SUM($H197:P197)-SUM($AL197:AT197)),2)))</f>
        <v>0.0</v>
      </c>
      <c r="R197" s="31">
        <f>IF(R196+AB197-H197&lt;=0.01,0,ROUND(R196+AB197-H197,2))</f>
        <v>0.0</v>
      </c>
      <c r="S197" s="31">
        <f>IF(S196+AC197-I197&lt;=0.01,0,ROUND(S196+AC197-I197,2))</f>
        <v>0.0</v>
      </c>
      <c r="T197" s="31">
        <f>IF(T196+AD197-J197&lt;=0.01,0,ROUND(T196+AD197-J197,2))</f>
        <v>0.0</v>
      </c>
      <c r="U197" s="31">
        <f>IF(U196+AE197-K197&lt;=0.01,0,ROUND(U196+AE197-K197,2))</f>
        <v>0.0</v>
      </c>
      <c r="V197" s="31">
        <f>IF(V196+AF197-L197&lt;=0.01,0,ROUND(V196+AF197-L197,2))</f>
        <v>0.0</v>
      </c>
      <c r="W197" s="31">
        <f>IF(W196+AG197-M197&lt;=0.01,0,ROUND(W196+AG197-M197,2))</f>
        <v>0.0</v>
      </c>
      <c r="X197" s="31">
        <f>IF(X196+AH197-N197&lt;=0.01,0,ROUND(X196+AH197-N197,2))</f>
        <v>0.0</v>
      </c>
      <c r="Y197" s="31">
        <f>IF(Y196+AI197-O197&lt;=0.01,0,ROUND(Y196+AI197-O197,2))</f>
        <v>0.0</v>
      </c>
      <c r="Z197" s="31">
        <f>IF(Z196+AJ197-P197&lt;=0.01,0,ROUND(Z196+AJ197-P197,2))</f>
        <v>0.0</v>
      </c>
      <c r="AA197" s="31">
        <f>IF(AA196+AK197-Q197&lt;=0.01,0,ROUND(AA196+AK197-Q197,2))</f>
        <v>0.0</v>
      </c>
      <c r="AB197" s="31">
        <f>ROUND(R196*AB$5/1200,2)</f>
        <v>0.0</v>
      </c>
      <c r="AC197" s="31">
        <f>ROUND(S196*AC$5/1200,2)</f>
        <v>0.0</v>
      </c>
      <c r="AD197" s="31">
        <f>ROUND(T196*AD$5/1200,2)</f>
        <v>0.0</v>
      </c>
      <c r="AE197" s="31">
        <f>ROUND(U196*AE$5/1200,2)</f>
        <v>0.0</v>
      </c>
      <c r="AF197" s="31">
        <f>ROUND(V196*AF$5/1200,2)</f>
        <v>0.0</v>
      </c>
      <c r="AG197" s="31">
        <f>ROUND(W196*AG$5/1200,2)</f>
        <v>0.0</v>
      </c>
      <c r="AH197" s="31">
        <f>ROUND(X196*AH$5/1200,2)</f>
        <v>0.0</v>
      </c>
      <c r="AI197" s="31">
        <f>ROUND(Y196*AI$5/1200,2)</f>
        <v>0.0</v>
      </c>
      <c r="AJ197" s="31">
        <f>ROUND(Z196*AJ$5/1200,2)</f>
        <v>0.0</v>
      </c>
      <c r="AK197" s="31">
        <f>ROUND(AA196*AK$5/1200,2)</f>
        <v>0.0</v>
      </c>
      <c r="AL197" s="31">
        <f>MIN(AL$5,R196+AB197)</f>
        <v>0.0</v>
      </c>
      <c r="AM197" s="31">
        <f>MIN(AM$5,S196+AC197)</f>
        <v>0.0</v>
      </c>
      <c r="AN197" s="31">
        <f>MIN(AN$5,T196+AD197)</f>
        <v>0.0</v>
      </c>
      <c r="AO197" s="31">
        <f>MIN(AO$5,U196+AE197)</f>
        <v>0.0</v>
      </c>
      <c r="AP197" s="31">
        <f>MIN(AP$5,V196+AF197)</f>
        <v>0.0</v>
      </c>
      <c r="AQ197" s="31">
        <f>MIN(AQ$5,W196+AG197)</f>
        <v>0.0</v>
      </c>
      <c r="AR197" s="31">
        <f>MIN(AR$5,X196+AH197)</f>
        <v>0.0</v>
      </c>
      <c r="AS197" s="31">
        <f>MIN(AS$5,Y196+AI197)</f>
        <v>0.0</v>
      </c>
      <c r="AT197" s="31">
        <f>MIN(AT$5,Z196+AJ197)</f>
        <v>0.0</v>
      </c>
      <c r="AU197" s="31">
        <f>MIN(AU$5,AA196+AK197)</f>
        <v>0.0</v>
      </c>
    </row>
    <row r="198">
      <c r="A198" s="25" t="str">
        <f>IF(F197&gt;0.005,193,"")</f>
        <v/>
      </c>
      <c r="B198" s="33" t="str">
        <f>IF(A198="","",EDATE(Долги!$D$5,192))</f>
        <v/>
      </c>
      <c r="C198" s="31">
        <f>SUM(H198:Q198)</f>
        <v>0.0</v>
      </c>
      <c r="D198" s="31">
        <f>SUM(AB198:AK198)</f>
        <v>0.0</v>
      </c>
      <c r="E198" s="31">
        <f>C198-D198</f>
        <v>0.0</v>
      </c>
      <c r="F198" s="31">
        <f>SUM(R198:AA198)</f>
        <v>0.0</v>
      </c>
      <c r="G198" s="34" t="str">
        <f>IF(OR(A198="",$F$5&lt;=0),"",REPT("█",ROUND(20*F198/$F$5,0)))</f>
        <v/>
      </c>
      <c r="H198" s="31">
        <f>AL198+MIN(R197+AB198-AL198,MAX(0,ROUND(Долги!$D$19-SUM($AL198:$AU198),2)))</f>
        <v>0.0</v>
      </c>
      <c r="I198" s="31">
        <f>AM198+MIN(S197+AC198-AM198,MAX(0,ROUND(ROUND(Долги!$D$19-SUM($AL198:$AU198),2)-(SUM($H198:H198)-SUM($AL198:AL198)),2)))</f>
        <v>0.0</v>
      </c>
      <c r="J198" s="31">
        <f>AN198+MIN(T197+AD198-AN198,MAX(0,ROUND(ROUND(Долги!$D$19-SUM($AL198:$AU198),2)-(SUM($H198:I198)-SUM($AL198:AM198)),2)))</f>
        <v>0.0</v>
      </c>
      <c r="K198" s="31">
        <f>AO198+MIN(U197+AE198-AO198,MAX(0,ROUND(ROUND(Долги!$D$19-SUM($AL198:$AU198),2)-(SUM($H198:J198)-SUM($AL198:AN198)),2)))</f>
        <v>0.0</v>
      </c>
      <c r="L198" s="31">
        <f>AP198+MIN(V197+AF198-AP198,MAX(0,ROUND(ROUND(Долги!$D$19-SUM($AL198:$AU198),2)-(SUM($H198:K198)-SUM($AL198:AO198)),2)))</f>
        <v>0.0</v>
      </c>
      <c r="M198" s="31">
        <f>AQ198+MIN(W197+AG198-AQ198,MAX(0,ROUND(ROUND(Долги!$D$19-SUM($AL198:$AU198),2)-(SUM($H198:L198)-SUM($AL198:AP198)),2)))</f>
        <v>0.0</v>
      </c>
      <c r="N198" s="31">
        <f>AR198+MIN(X197+AH198-AR198,MAX(0,ROUND(ROUND(Долги!$D$19-SUM($AL198:$AU198),2)-(SUM($H198:M198)-SUM($AL198:AQ198)),2)))</f>
        <v>0.0</v>
      </c>
      <c r="O198" s="31">
        <f>AS198+MIN(Y197+AI198-AS198,MAX(0,ROUND(ROUND(Долги!$D$19-SUM($AL198:$AU198),2)-(SUM($H198:N198)-SUM($AL198:AR198)),2)))</f>
        <v>0.0</v>
      </c>
      <c r="P198" s="31">
        <f>AT198+MIN(Z197+AJ198-AT198,MAX(0,ROUND(ROUND(Долги!$D$19-SUM($AL198:$AU198),2)-(SUM($H198:O198)-SUM($AL198:AS198)),2)))</f>
        <v>0.0</v>
      </c>
      <c r="Q198" s="31">
        <f>AU198+MIN(AA197+AK198-AU198,MAX(0,ROUND(ROUND(Долги!$D$19-SUM($AL198:$AU198),2)-(SUM($H198:P198)-SUM($AL198:AT198)),2)))</f>
        <v>0.0</v>
      </c>
      <c r="R198" s="31">
        <f>IF(R197+AB198-H198&lt;=0.01,0,ROUND(R197+AB198-H198,2))</f>
        <v>0.0</v>
      </c>
      <c r="S198" s="31">
        <f>IF(S197+AC198-I198&lt;=0.01,0,ROUND(S197+AC198-I198,2))</f>
        <v>0.0</v>
      </c>
      <c r="T198" s="31">
        <f>IF(T197+AD198-J198&lt;=0.01,0,ROUND(T197+AD198-J198,2))</f>
        <v>0.0</v>
      </c>
      <c r="U198" s="31">
        <f>IF(U197+AE198-K198&lt;=0.01,0,ROUND(U197+AE198-K198,2))</f>
        <v>0.0</v>
      </c>
      <c r="V198" s="31">
        <f>IF(V197+AF198-L198&lt;=0.01,0,ROUND(V197+AF198-L198,2))</f>
        <v>0.0</v>
      </c>
      <c r="W198" s="31">
        <f>IF(W197+AG198-M198&lt;=0.01,0,ROUND(W197+AG198-M198,2))</f>
        <v>0.0</v>
      </c>
      <c r="X198" s="31">
        <f>IF(X197+AH198-N198&lt;=0.01,0,ROUND(X197+AH198-N198,2))</f>
        <v>0.0</v>
      </c>
      <c r="Y198" s="31">
        <f>IF(Y197+AI198-O198&lt;=0.01,0,ROUND(Y197+AI198-O198,2))</f>
        <v>0.0</v>
      </c>
      <c r="Z198" s="31">
        <f>IF(Z197+AJ198-P198&lt;=0.01,0,ROUND(Z197+AJ198-P198,2))</f>
        <v>0.0</v>
      </c>
      <c r="AA198" s="31">
        <f>IF(AA197+AK198-Q198&lt;=0.01,0,ROUND(AA197+AK198-Q198,2))</f>
        <v>0.0</v>
      </c>
      <c r="AB198" s="31">
        <f>ROUND(R197*AB$5/1200,2)</f>
        <v>0.0</v>
      </c>
      <c r="AC198" s="31">
        <f>ROUND(S197*AC$5/1200,2)</f>
        <v>0.0</v>
      </c>
      <c r="AD198" s="31">
        <f>ROUND(T197*AD$5/1200,2)</f>
        <v>0.0</v>
      </c>
      <c r="AE198" s="31">
        <f>ROUND(U197*AE$5/1200,2)</f>
        <v>0.0</v>
      </c>
      <c r="AF198" s="31">
        <f>ROUND(V197*AF$5/1200,2)</f>
        <v>0.0</v>
      </c>
      <c r="AG198" s="31">
        <f>ROUND(W197*AG$5/1200,2)</f>
        <v>0.0</v>
      </c>
      <c r="AH198" s="31">
        <f>ROUND(X197*AH$5/1200,2)</f>
        <v>0.0</v>
      </c>
      <c r="AI198" s="31">
        <f>ROUND(Y197*AI$5/1200,2)</f>
        <v>0.0</v>
      </c>
      <c r="AJ198" s="31">
        <f>ROUND(Z197*AJ$5/1200,2)</f>
        <v>0.0</v>
      </c>
      <c r="AK198" s="31">
        <f>ROUND(AA197*AK$5/1200,2)</f>
        <v>0.0</v>
      </c>
      <c r="AL198" s="31">
        <f>MIN(AL$5,R197+AB198)</f>
        <v>0.0</v>
      </c>
      <c r="AM198" s="31">
        <f>MIN(AM$5,S197+AC198)</f>
        <v>0.0</v>
      </c>
      <c r="AN198" s="31">
        <f>MIN(AN$5,T197+AD198)</f>
        <v>0.0</v>
      </c>
      <c r="AO198" s="31">
        <f>MIN(AO$5,U197+AE198)</f>
        <v>0.0</v>
      </c>
      <c r="AP198" s="31">
        <f>MIN(AP$5,V197+AF198)</f>
        <v>0.0</v>
      </c>
      <c r="AQ198" s="31">
        <f>MIN(AQ$5,W197+AG198)</f>
        <v>0.0</v>
      </c>
      <c r="AR198" s="31">
        <f>MIN(AR$5,X197+AH198)</f>
        <v>0.0</v>
      </c>
      <c r="AS198" s="31">
        <f>MIN(AS$5,Y197+AI198)</f>
        <v>0.0</v>
      </c>
      <c r="AT198" s="31">
        <f>MIN(AT$5,Z197+AJ198)</f>
        <v>0.0</v>
      </c>
      <c r="AU198" s="31">
        <f>MIN(AU$5,AA197+AK198)</f>
        <v>0.0</v>
      </c>
    </row>
    <row r="199">
      <c r="A199" s="25" t="str">
        <f>IF(F198&gt;0.005,194,"")</f>
        <v/>
      </c>
      <c r="B199" s="33" t="str">
        <f>IF(A199="","",EDATE(Долги!$D$5,193))</f>
        <v/>
      </c>
      <c r="C199" s="31">
        <f>SUM(H199:Q199)</f>
        <v>0.0</v>
      </c>
      <c r="D199" s="31">
        <f>SUM(AB199:AK199)</f>
        <v>0.0</v>
      </c>
      <c r="E199" s="31">
        <f>C199-D199</f>
        <v>0.0</v>
      </c>
      <c r="F199" s="31">
        <f>SUM(R199:AA199)</f>
        <v>0.0</v>
      </c>
      <c r="G199" s="34" t="str">
        <f>IF(OR(A199="",$F$5&lt;=0),"",REPT("█",ROUND(20*F199/$F$5,0)))</f>
        <v/>
      </c>
      <c r="H199" s="31">
        <f>AL199+MIN(R198+AB199-AL199,MAX(0,ROUND(Долги!$D$19-SUM($AL199:$AU199),2)))</f>
        <v>0.0</v>
      </c>
      <c r="I199" s="31">
        <f>AM199+MIN(S198+AC199-AM199,MAX(0,ROUND(ROUND(Долги!$D$19-SUM($AL199:$AU199),2)-(SUM($H199:H199)-SUM($AL199:AL199)),2)))</f>
        <v>0.0</v>
      </c>
      <c r="J199" s="31">
        <f>AN199+MIN(T198+AD199-AN199,MAX(0,ROUND(ROUND(Долги!$D$19-SUM($AL199:$AU199),2)-(SUM($H199:I199)-SUM($AL199:AM199)),2)))</f>
        <v>0.0</v>
      </c>
      <c r="K199" s="31">
        <f>AO199+MIN(U198+AE199-AO199,MAX(0,ROUND(ROUND(Долги!$D$19-SUM($AL199:$AU199),2)-(SUM($H199:J199)-SUM($AL199:AN199)),2)))</f>
        <v>0.0</v>
      </c>
      <c r="L199" s="31">
        <f>AP199+MIN(V198+AF199-AP199,MAX(0,ROUND(ROUND(Долги!$D$19-SUM($AL199:$AU199),2)-(SUM($H199:K199)-SUM($AL199:AO199)),2)))</f>
        <v>0.0</v>
      </c>
      <c r="M199" s="31">
        <f>AQ199+MIN(W198+AG199-AQ199,MAX(0,ROUND(ROUND(Долги!$D$19-SUM($AL199:$AU199),2)-(SUM($H199:L199)-SUM($AL199:AP199)),2)))</f>
        <v>0.0</v>
      </c>
      <c r="N199" s="31">
        <f>AR199+MIN(X198+AH199-AR199,MAX(0,ROUND(ROUND(Долги!$D$19-SUM($AL199:$AU199),2)-(SUM($H199:M199)-SUM($AL199:AQ199)),2)))</f>
        <v>0.0</v>
      </c>
      <c r="O199" s="31">
        <f>AS199+MIN(Y198+AI199-AS199,MAX(0,ROUND(ROUND(Долги!$D$19-SUM($AL199:$AU199),2)-(SUM($H199:N199)-SUM($AL199:AR199)),2)))</f>
        <v>0.0</v>
      </c>
      <c r="P199" s="31">
        <f>AT199+MIN(Z198+AJ199-AT199,MAX(0,ROUND(ROUND(Долги!$D$19-SUM($AL199:$AU199),2)-(SUM($H199:O199)-SUM($AL199:AS199)),2)))</f>
        <v>0.0</v>
      </c>
      <c r="Q199" s="31">
        <f>AU199+MIN(AA198+AK199-AU199,MAX(0,ROUND(ROUND(Долги!$D$19-SUM($AL199:$AU199),2)-(SUM($H199:P199)-SUM($AL199:AT199)),2)))</f>
        <v>0.0</v>
      </c>
      <c r="R199" s="31">
        <f>IF(R198+AB199-H199&lt;=0.01,0,ROUND(R198+AB199-H199,2))</f>
        <v>0.0</v>
      </c>
      <c r="S199" s="31">
        <f>IF(S198+AC199-I199&lt;=0.01,0,ROUND(S198+AC199-I199,2))</f>
        <v>0.0</v>
      </c>
      <c r="T199" s="31">
        <f>IF(T198+AD199-J199&lt;=0.01,0,ROUND(T198+AD199-J199,2))</f>
        <v>0.0</v>
      </c>
      <c r="U199" s="31">
        <f>IF(U198+AE199-K199&lt;=0.01,0,ROUND(U198+AE199-K199,2))</f>
        <v>0.0</v>
      </c>
      <c r="V199" s="31">
        <f>IF(V198+AF199-L199&lt;=0.01,0,ROUND(V198+AF199-L199,2))</f>
        <v>0.0</v>
      </c>
      <c r="W199" s="31">
        <f>IF(W198+AG199-M199&lt;=0.01,0,ROUND(W198+AG199-M199,2))</f>
        <v>0.0</v>
      </c>
      <c r="X199" s="31">
        <f>IF(X198+AH199-N199&lt;=0.01,0,ROUND(X198+AH199-N199,2))</f>
        <v>0.0</v>
      </c>
      <c r="Y199" s="31">
        <f>IF(Y198+AI199-O199&lt;=0.01,0,ROUND(Y198+AI199-O199,2))</f>
        <v>0.0</v>
      </c>
      <c r="Z199" s="31">
        <f>IF(Z198+AJ199-P199&lt;=0.01,0,ROUND(Z198+AJ199-P199,2))</f>
        <v>0.0</v>
      </c>
      <c r="AA199" s="31">
        <f>IF(AA198+AK199-Q199&lt;=0.01,0,ROUND(AA198+AK199-Q199,2))</f>
        <v>0.0</v>
      </c>
      <c r="AB199" s="31">
        <f>ROUND(R198*AB$5/1200,2)</f>
        <v>0.0</v>
      </c>
      <c r="AC199" s="31">
        <f>ROUND(S198*AC$5/1200,2)</f>
        <v>0.0</v>
      </c>
      <c r="AD199" s="31">
        <f>ROUND(T198*AD$5/1200,2)</f>
        <v>0.0</v>
      </c>
      <c r="AE199" s="31">
        <f>ROUND(U198*AE$5/1200,2)</f>
        <v>0.0</v>
      </c>
      <c r="AF199" s="31">
        <f>ROUND(V198*AF$5/1200,2)</f>
        <v>0.0</v>
      </c>
      <c r="AG199" s="31">
        <f>ROUND(W198*AG$5/1200,2)</f>
        <v>0.0</v>
      </c>
      <c r="AH199" s="31">
        <f>ROUND(X198*AH$5/1200,2)</f>
        <v>0.0</v>
      </c>
      <c r="AI199" s="31">
        <f>ROUND(Y198*AI$5/1200,2)</f>
        <v>0.0</v>
      </c>
      <c r="AJ199" s="31">
        <f>ROUND(Z198*AJ$5/1200,2)</f>
        <v>0.0</v>
      </c>
      <c r="AK199" s="31">
        <f>ROUND(AA198*AK$5/1200,2)</f>
        <v>0.0</v>
      </c>
      <c r="AL199" s="31">
        <f>MIN(AL$5,R198+AB199)</f>
        <v>0.0</v>
      </c>
      <c r="AM199" s="31">
        <f>MIN(AM$5,S198+AC199)</f>
        <v>0.0</v>
      </c>
      <c r="AN199" s="31">
        <f>MIN(AN$5,T198+AD199)</f>
        <v>0.0</v>
      </c>
      <c r="AO199" s="31">
        <f>MIN(AO$5,U198+AE199)</f>
        <v>0.0</v>
      </c>
      <c r="AP199" s="31">
        <f>MIN(AP$5,V198+AF199)</f>
        <v>0.0</v>
      </c>
      <c r="AQ199" s="31">
        <f>MIN(AQ$5,W198+AG199)</f>
        <v>0.0</v>
      </c>
      <c r="AR199" s="31">
        <f>MIN(AR$5,X198+AH199)</f>
        <v>0.0</v>
      </c>
      <c r="AS199" s="31">
        <f>MIN(AS$5,Y198+AI199)</f>
        <v>0.0</v>
      </c>
      <c r="AT199" s="31">
        <f>MIN(AT$5,Z198+AJ199)</f>
        <v>0.0</v>
      </c>
      <c r="AU199" s="31">
        <f>MIN(AU$5,AA198+AK199)</f>
        <v>0.0</v>
      </c>
    </row>
    <row r="200">
      <c r="A200" s="25" t="str">
        <f>IF(F199&gt;0.005,195,"")</f>
        <v/>
      </c>
      <c r="B200" s="33" t="str">
        <f>IF(A200="","",EDATE(Долги!$D$5,194))</f>
        <v/>
      </c>
      <c r="C200" s="31">
        <f>SUM(H200:Q200)</f>
        <v>0.0</v>
      </c>
      <c r="D200" s="31">
        <f>SUM(AB200:AK200)</f>
        <v>0.0</v>
      </c>
      <c r="E200" s="31">
        <f>C200-D200</f>
        <v>0.0</v>
      </c>
      <c r="F200" s="31">
        <f>SUM(R200:AA200)</f>
        <v>0.0</v>
      </c>
      <c r="G200" s="34" t="str">
        <f>IF(OR(A200="",$F$5&lt;=0),"",REPT("█",ROUND(20*F200/$F$5,0)))</f>
        <v/>
      </c>
      <c r="H200" s="31">
        <f>AL200+MIN(R199+AB200-AL200,MAX(0,ROUND(Долги!$D$19-SUM($AL200:$AU200),2)))</f>
        <v>0.0</v>
      </c>
      <c r="I200" s="31">
        <f>AM200+MIN(S199+AC200-AM200,MAX(0,ROUND(ROUND(Долги!$D$19-SUM($AL200:$AU200),2)-(SUM($H200:H200)-SUM($AL200:AL200)),2)))</f>
        <v>0.0</v>
      </c>
      <c r="J200" s="31">
        <f>AN200+MIN(T199+AD200-AN200,MAX(0,ROUND(ROUND(Долги!$D$19-SUM($AL200:$AU200),2)-(SUM($H200:I200)-SUM($AL200:AM200)),2)))</f>
        <v>0.0</v>
      </c>
      <c r="K200" s="31">
        <f>AO200+MIN(U199+AE200-AO200,MAX(0,ROUND(ROUND(Долги!$D$19-SUM($AL200:$AU200),2)-(SUM($H200:J200)-SUM($AL200:AN200)),2)))</f>
        <v>0.0</v>
      </c>
      <c r="L200" s="31">
        <f>AP200+MIN(V199+AF200-AP200,MAX(0,ROUND(ROUND(Долги!$D$19-SUM($AL200:$AU200),2)-(SUM($H200:K200)-SUM($AL200:AO200)),2)))</f>
        <v>0.0</v>
      </c>
      <c r="M200" s="31">
        <f>AQ200+MIN(W199+AG200-AQ200,MAX(0,ROUND(ROUND(Долги!$D$19-SUM($AL200:$AU200),2)-(SUM($H200:L200)-SUM($AL200:AP200)),2)))</f>
        <v>0.0</v>
      </c>
      <c r="N200" s="31">
        <f>AR200+MIN(X199+AH200-AR200,MAX(0,ROUND(ROUND(Долги!$D$19-SUM($AL200:$AU200),2)-(SUM($H200:M200)-SUM($AL200:AQ200)),2)))</f>
        <v>0.0</v>
      </c>
      <c r="O200" s="31">
        <f>AS200+MIN(Y199+AI200-AS200,MAX(0,ROUND(ROUND(Долги!$D$19-SUM($AL200:$AU200),2)-(SUM($H200:N200)-SUM($AL200:AR200)),2)))</f>
        <v>0.0</v>
      </c>
      <c r="P200" s="31">
        <f>AT200+MIN(Z199+AJ200-AT200,MAX(0,ROUND(ROUND(Долги!$D$19-SUM($AL200:$AU200),2)-(SUM($H200:O200)-SUM($AL200:AS200)),2)))</f>
        <v>0.0</v>
      </c>
      <c r="Q200" s="31">
        <f>AU200+MIN(AA199+AK200-AU200,MAX(0,ROUND(ROUND(Долги!$D$19-SUM($AL200:$AU200),2)-(SUM($H200:P200)-SUM($AL200:AT200)),2)))</f>
        <v>0.0</v>
      </c>
      <c r="R200" s="31">
        <f>IF(R199+AB200-H200&lt;=0.01,0,ROUND(R199+AB200-H200,2))</f>
        <v>0.0</v>
      </c>
      <c r="S200" s="31">
        <f>IF(S199+AC200-I200&lt;=0.01,0,ROUND(S199+AC200-I200,2))</f>
        <v>0.0</v>
      </c>
      <c r="T200" s="31">
        <f>IF(T199+AD200-J200&lt;=0.01,0,ROUND(T199+AD200-J200,2))</f>
        <v>0.0</v>
      </c>
      <c r="U200" s="31">
        <f>IF(U199+AE200-K200&lt;=0.01,0,ROUND(U199+AE200-K200,2))</f>
        <v>0.0</v>
      </c>
      <c r="V200" s="31">
        <f>IF(V199+AF200-L200&lt;=0.01,0,ROUND(V199+AF200-L200,2))</f>
        <v>0.0</v>
      </c>
      <c r="W200" s="31">
        <f>IF(W199+AG200-M200&lt;=0.01,0,ROUND(W199+AG200-M200,2))</f>
        <v>0.0</v>
      </c>
      <c r="X200" s="31">
        <f>IF(X199+AH200-N200&lt;=0.01,0,ROUND(X199+AH200-N200,2))</f>
        <v>0.0</v>
      </c>
      <c r="Y200" s="31">
        <f>IF(Y199+AI200-O200&lt;=0.01,0,ROUND(Y199+AI200-O200,2))</f>
        <v>0.0</v>
      </c>
      <c r="Z200" s="31">
        <f>IF(Z199+AJ200-P200&lt;=0.01,0,ROUND(Z199+AJ200-P200,2))</f>
        <v>0.0</v>
      </c>
      <c r="AA200" s="31">
        <f>IF(AA199+AK200-Q200&lt;=0.01,0,ROUND(AA199+AK200-Q200,2))</f>
        <v>0.0</v>
      </c>
      <c r="AB200" s="31">
        <f>ROUND(R199*AB$5/1200,2)</f>
        <v>0.0</v>
      </c>
      <c r="AC200" s="31">
        <f>ROUND(S199*AC$5/1200,2)</f>
        <v>0.0</v>
      </c>
      <c r="AD200" s="31">
        <f>ROUND(T199*AD$5/1200,2)</f>
        <v>0.0</v>
      </c>
      <c r="AE200" s="31">
        <f>ROUND(U199*AE$5/1200,2)</f>
        <v>0.0</v>
      </c>
      <c r="AF200" s="31">
        <f>ROUND(V199*AF$5/1200,2)</f>
        <v>0.0</v>
      </c>
      <c r="AG200" s="31">
        <f>ROUND(W199*AG$5/1200,2)</f>
        <v>0.0</v>
      </c>
      <c r="AH200" s="31">
        <f>ROUND(X199*AH$5/1200,2)</f>
        <v>0.0</v>
      </c>
      <c r="AI200" s="31">
        <f>ROUND(Y199*AI$5/1200,2)</f>
        <v>0.0</v>
      </c>
      <c r="AJ200" s="31">
        <f>ROUND(Z199*AJ$5/1200,2)</f>
        <v>0.0</v>
      </c>
      <c r="AK200" s="31">
        <f>ROUND(AA199*AK$5/1200,2)</f>
        <v>0.0</v>
      </c>
      <c r="AL200" s="31">
        <f>MIN(AL$5,R199+AB200)</f>
        <v>0.0</v>
      </c>
      <c r="AM200" s="31">
        <f>MIN(AM$5,S199+AC200)</f>
        <v>0.0</v>
      </c>
      <c r="AN200" s="31">
        <f>MIN(AN$5,T199+AD200)</f>
        <v>0.0</v>
      </c>
      <c r="AO200" s="31">
        <f>MIN(AO$5,U199+AE200)</f>
        <v>0.0</v>
      </c>
      <c r="AP200" s="31">
        <f>MIN(AP$5,V199+AF200)</f>
        <v>0.0</v>
      </c>
      <c r="AQ200" s="31">
        <f>MIN(AQ$5,W199+AG200)</f>
        <v>0.0</v>
      </c>
      <c r="AR200" s="31">
        <f>MIN(AR$5,X199+AH200)</f>
        <v>0.0</v>
      </c>
      <c r="AS200" s="31">
        <f>MIN(AS$5,Y199+AI200)</f>
        <v>0.0</v>
      </c>
      <c r="AT200" s="31">
        <f>MIN(AT$5,Z199+AJ200)</f>
        <v>0.0</v>
      </c>
      <c r="AU200" s="31">
        <f>MIN(AU$5,AA199+AK200)</f>
        <v>0.0</v>
      </c>
    </row>
    <row r="201">
      <c r="A201" s="25" t="str">
        <f>IF(F200&gt;0.005,196,"")</f>
        <v/>
      </c>
      <c r="B201" s="33" t="str">
        <f>IF(A201="","",EDATE(Долги!$D$5,195))</f>
        <v/>
      </c>
      <c r="C201" s="31">
        <f>SUM(H201:Q201)</f>
        <v>0.0</v>
      </c>
      <c r="D201" s="31">
        <f>SUM(AB201:AK201)</f>
        <v>0.0</v>
      </c>
      <c r="E201" s="31">
        <f>C201-D201</f>
        <v>0.0</v>
      </c>
      <c r="F201" s="31">
        <f>SUM(R201:AA201)</f>
        <v>0.0</v>
      </c>
      <c r="G201" s="34" t="str">
        <f>IF(OR(A201="",$F$5&lt;=0),"",REPT("█",ROUND(20*F201/$F$5,0)))</f>
        <v/>
      </c>
      <c r="H201" s="31">
        <f>AL201+MIN(R200+AB201-AL201,MAX(0,ROUND(Долги!$D$19-SUM($AL201:$AU201),2)))</f>
        <v>0.0</v>
      </c>
      <c r="I201" s="31">
        <f>AM201+MIN(S200+AC201-AM201,MAX(0,ROUND(ROUND(Долги!$D$19-SUM($AL201:$AU201),2)-(SUM($H201:H201)-SUM($AL201:AL201)),2)))</f>
        <v>0.0</v>
      </c>
      <c r="J201" s="31">
        <f>AN201+MIN(T200+AD201-AN201,MAX(0,ROUND(ROUND(Долги!$D$19-SUM($AL201:$AU201),2)-(SUM($H201:I201)-SUM($AL201:AM201)),2)))</f>
        <v>0.0</v>
      </c>
      <c r="K201" s="31">
        <f>AO201+MIN(U200+AE201-AO201,MAX(0,ROUND(ROUND(Долги!$D$19-SUM($AL201:$AU201),2)-(SUM($H201:J201)-SUM($AL201:AN201)),2)))</f>
        <v>0.0</v>
      </c>
      <c r="L201" s="31">
        <f>AP201+MIN(V200+AF201-AP201,MAX(0,ROUND(ROUND(Долги!$D$19-SUM($AL201:$AU201),2)-(SUM($H201:K201)-SUM($AL201:AO201)),2)))</f>
        <v>0.0</v>
      </c>
      <c r="M201" s="31">
        <f>AQ201+MIN(W200+AG201-AQ201,MAX(0,ROUND(ROUND(Долги!$D$19-SUM($AL201:$AU201),2)-(SUM($H201:L201)-SUM($AL201:AP201)),2)))</f>
        <v>0.0</v>
      </c>
      <c r="N201" s="31">
        <f>AR201+MIN(X200+AH201-AR201,MAX(0,ROUND(ROUND(Долги!$D$19-SUM($AL201:$AU201),2)-(SUM($H201:M201)-SUM($AL201:AQ201)),2)))</f>
        <v>0.0</v>
      </c>
      <c r="O201" s="31">
        <f>AS201+MIN(Y200+AI201-AS201,MAX(0,ROUND(ROUND(Долги!$D$19-SUM($AL201:$AU201),2)-(SUM($H201:N201)-SUM($AL201:AR201)),2)))</f>
        <v>0.0</v>
      </c>
      <c r="P201" s="31">
        <f>AT201+MIN(Z200+AJ201-AT201,MAX(0,ROUND(ROUND(Долги!$D$19-SUM($AL201:$AU201),2)-(SUM($H201:O201)-SUM($AL201:AS201)),2)))</f>
        <v>0.0</v>
      </c>
      <c r="Q201" s="31">
        <f>AU201+MIN(AA200+AK201-AU201,MAX(0,ROUND(ROUND(Долги!$D$19-SUM($AL201:$AU201),2)-(SUM($H201:P201)-SUM($AL201:AT201)),2)))</f>
        <v>0.0</v>
      </c>
      <c r="R201" s="31">
        <f>IF(R200+AB201-H201&lt;=0.01,0,ROUND(R200+AB201-H201,2))</f>
        <v>0.0</v>
      </c>
      <c r="S201" s="31">
        <f>IF(S200+AC201-I201&lt;=0.01,0,ROUND(S200+AC201-I201,2))</f>
        <v>0.0</v>
      </c>
      <c r="T201" s="31">
        <f>IF(T200+AD201-J201&lt;=0.01,0,ROUND(T200+AD201-J201,2))</f>
        <v>0.0</v>
      </c>
      <c r="U201" s="31">
        <f>IF(U200+AE201-K201&lt;=0.01,0,ROUND(U200+AE201-K201,2))</f>
        <v>0.0</v>
      </c>
      <c r="V201" s="31">
        <f>IF(V200+AF201-L201&lt;=0.01,0,ROUND(V200+AF201-L201,2))</f>
        <v>0.0</v>
      </c>
      <c r="W201" s="31">
        <f>IF(W200+AG201-M201&lt;=0.01,0,ROUND(W200+AG201-M201,2))</f>
        <v>0.0</v>
      </c>
      <c r="X201" s="31">
        <f>IF(X200+AH201-N201&lt;=0.01,0,ROUND(X200+AH201-N201,2))</f>
        <v>0.0</v>
      </c>
      <c r="Y201" s="31">
        <f>IF(Y200+AI201-O201&lt;=0.01,0,ROUND(Y200+AI201-O201,2))</f>
        <v>0.0</v>
      </c>
      <c r="Z201" s="31">
        <f>IF(Z200+AJ201-P201&lt;=0.01,0,ROUND(Z200+AJ201-P201,2))</f>
        <v>0.0</v>
      </c>
      <c r="AA201" s="31">
        <f>IF(AA200+AK201-Q201&lt;=0.01,0,ROUND(AA200+AK201-Q201,2))</f>
        <v>0.0</v>
      </c>
      <c r="AB201" s="31">
        <f>ROUND(R200*AB$5/1200,2)</f>
        <v>0.0</v>
      </c>
      <c r="AC201" s="31">
        <f>ROUND(S200*AC$5/1200,2)</f>
        <v>0.0</v>
      </c>
      <c r="AD201" s="31">
        <f>ROUND(T200*AD$5/1200,2)</f>
        <v>0.0</v>
      </c>
      <c r="AE201" s="31">
        <f>ROUND(U200*AE$5/1200,2)</f>
        <v>0.0</v>
      </c>
      <c r="AF201" s="31">
        <f>ROUND(V200*AF$5/1200,2)</f>
        <v>0.0</v>
      </c>
      <c r="AG201" s="31">
        <f>ROUND(W200*AG$5/1200,2)</f>
        <v>0.0</v>
      </c>
      <c r="AH201" s="31">
        <f>ROUND(X200*AH$5/1200,2)</f>
        <v>0.0</v>
      </c>
      <c r="AI201" s="31">
        <f>ROUND(Y200*AI$5/1200,2)</f>
        <v>0.0</v>
      </c>
      <c r="AJ201" s="31">
        <f>ROUND(Z200*AJ$5/1200,2)</f>
        <v>0.0</v>
      </c>
      <c r="AK201" s="31">
        <f>ROUND(AA200*AK$5/1200,2)</f>
        <v>0.0</v>
      </c>
      <c r="AL201" s="31">
        <f>MIN(AL$5,R200+AB201)</f>
        <v>0.0</v>
      </c>
      <c r="AM201" s="31">
        <f>MIN(AM$5,S200+AC201)</f>
        <v>0.0</v>
      </c>
      <c r="AN201" s="31">
        <f>MIN(AN$5,T200+AD201)</f>
        <v>0.0</v>
      </c>
      <c r="AO201" s="31">
        <f>MIN(AO$5,U200+AE201)</f>
        <v>0.0</v>
      </c>
      <c r="AP201" s="31">
        <f>MIN(AP$5,V200+AF201)</f>
        <v>0.0</v>
      </c>
      <c r="AQ201" s="31">
        <f>MIN(AQ$5,W200+AG201)</f>
        <v>0.0</v>
      </c>
      <c r="AR201" s="31">
        <f>MIN(AR$5,X200+AH201)</f>
        <v>0.0</v>
      </c>
      <c r="AS201" s="31">
        <f>MIN(AS$5,Y200+AI201)</f>
        <v>0.0</v>
      </c>
      <c r="AT201" s="31">
        <f>MIN(AT$5,Z200+AJ201)</f>
        <v>0.0</v>
      </c>
      <c r="AU201" s="31">
        <f>MIN(AU$5,AA200+AK201)</f>
        <v>0.0</v>
      </c>
    </row>
    <row r="202">
      <c r="A202" s="25" t="str">
        <f>IF(F201&gt;0.005,197,"")</f>
        <v/>
      </c>
      <c r="B202" s="33" t="str">
        <f>IF(A202="","",EDATE(Долги!$D$5,196))</f>
        <v/>
      </c>
      <c r="C202" s="31">
        <f>SUM(H202:Q202)</f>
        <v>0.0</v>
      </c>
      <c r="D202" s="31">
        <f>SUM(AB202:AK202)</f>
        <v>0.0</v>
      </c>
      <c r="E202" s="31">
        <f>C202-D202</f>
        <v>0.0</v>
      </c>
      <c r="F202" s="31">
        <f>SUM(R202:AA202)</f>
        <v>0.0</v>
      </c>
      <c r="G202" s="34" t="str">
        <f>IF(OR(A202="",$F$5&lt;=0),"",REPT("█",ROUND(20*F202/$F$5,0)))</f>
        <v/>
      </c>
      <c r="H202" s="31">
        <f>AL202+MIN(R201+AB202-AL202,MAX(0,ROUND(Долги!$D$19-SUM($AL202:$AU202),2)))</f>
        <v>0.0</v>
      </c>
      <c r="I202" s="31">
        <f>AM202+MIN(S201+AC202-AM202,MAX(0,ROUND(ROUND(Долги!$D$19-SUM($AL202:$AU202),2)-(SUM($H202:H202)-SUM($AL202:AL202)),2)))</f>
        <v>0.0</v>
      </c>
      <c r="J202" s="31">
        <f>AN202+MIN(T201+AD202-AN202,MAX(0,ROUND(ROUND(Долги!$D$19-SUM($AL202:$AU202),2)-(SUM($H202:I202)-SUM($AL202:AM202)),2)))</f>
        <v>0.0</v>
      </c>
      <c r="K202" s="31">
        <f>AO202+MIN(U201+AE202-AO202,MAX(0,ROUND(ROUND(Долги!$D$19-SUM($AL202:$AU202),2)-(SUM($H202:J202)-SUM($AL202:AN202)),2)))</f>
        <v>0.0</v>
      </c>
      <c r="L202" s="31">
        <f>AP202+MIN(V201+AF202-AP202,MAX(0,ROUND(ROUND(Долги!$D$19-SUM($AL202:$AU202),2)-(SUM($H202:K202)-SUM($AL202:AO202)),2)))</f>
        <v>0.0</v>
      </c>
      <c r="M202" s="31">
        <f>AQ202+MIN(W201+AG202-AQ202,MAX(0,ROUND(ROUND(Долги!$D$19-SUM($AL202:$AU202),2)-(SUM($H202:L202)-SUM($AL202:AP202)),2)))</f>
        <v>0.0</v>
      </c>
      <c r="N202" s="31">
        <f>AR202+MIN(X201+AH202-AR202,MAX(0,ROUND(ROUND(Долги!$D$19-SUM($AL202:$AU202),2)-(SUM($H202:M202)-SUM($AL202:AQ202)),2)))</f>
        <v>0.0</v>
      </c>
      <c r="O202" s="31">
        <f>AS202+MIN(Y201+AI202-AS202,MAX(0,ROUND(ROUND(Долги!$D$19-SUM($AL202:$AU202),2)-(SUM($H202:N202)-SUM($AL202:AR202)),2)))</f>
        <v>0.0</v>
      </c>
      <c r="P202" s="31">
        <f>AT202+MIN(Z201+AJ202-AT202,MAX(0,ROUND(ROUND(Долги!$D$19-SUM($AL202:$AU202),2)-(SUM($H202:O202)-SUM($AL202:AS202)),2)))</f>
        <v>0.0</v>
      </c>
      <c r="Q202" s="31">
        <f>AU202+MIN(AA201+AK202-AU202,MAX(0,ROUND(ROUND(Долги!$D$19-SUM($AL202:$AU202),2)-(SUM($H202:P202)-SUM($AL202:AT202)),2)))</f>
        <v>0.0</v>
      </c>
      <c r="R202" s="31">
        <f>IF(R201+AB202-H202&lt;=0.01,0,ROUND(R201+AB202-H202,2))</f>
        <v>0.0</v>
      </c>
      <c r="S202" s="31">
        <f>IF(S201+AC202-I202&lt;=0.01,0,ROUND(S201+AC202-I202,2))</f>
        <v>0.0</v>
      </c>
      <c r="T202" s="31">
        <f>IF(T201+AD202-J202&lt;=0.01,0,ROUND(T201+AD202-J202,2))</f>
        <v>0.0</v>
      </c>
      <c r="U202" s="31">
        <f>IF(U201+AE202-K202&lt;=0.01,0,ROUND(U201+AE202-K202,2))</f>
        <v>0.0</v>
      </c>
      <c r="V202" s="31">
        <f>IF(V201+AF202-L202&lt;=0.01,0,ROUND(V201+AF202-L202,2))</f>
        <v>0.0</v>
      </c>
      <c r="W202" s="31">
        <f>IF(W201+AG202-M202&lt;=0.01,0,ROUND(W201+AG202-M202,2))</f>
        <v>0.0</v>
      </c>
      <c r="X202" s="31">
        <f>IF(X201+AH202-N202&lt;=0.01,0,ROUND(X201+AH202-N202,2))</f>
        <v>0.0</v>
      </c>
      <c r="Y202" s="31">
        <f>IF(Y201+AI202-O202&lt;=0.01,0,ROUND(Y201+AI202-O202,2))</f>
        <v>0.0</v>
      </c>
      <c r="Z202" s="31">
        <f>IF(Z201+AJ202-P202&lt;=0.01,0,ROUND(Z201+AJ202-P202,2))</f>
        <v>0.0</v>
      </c>
      <c r="AA202" s="31">
        <f>IF(AA201+AK202-Q202&lt;=0.01,0,ROUND(AA201+AK202-Q202,2))</f>
        <v>0.0</v>
      </c>
      <c r="AB202" s="31">
        <f>ROUND(R201*AB$5/1200,2)</f>
        <v>0.0</v>
      </c>
      <c r="AC202" s="31">
        <f>ROUND(S201*AC$5/1200,2)</f>
        <v>0.0</v>
      </c>
      <c r="AD202" s="31">
        <f>ROUND(T201*AD$5/1200,2)</f>
        <v>0.0</v>
      </c>
      <c r="AE202" s="31">
        <f>ROUND(U201*AE$5/1200,2)</f>
        <v>0.0</v>
      </c>
      <c r="AF202" s="31">
        <f>ROUND(V201*AF$5/1200,2)</f>
        <v>0.0</v>
      </c>
      <c r="AG202" s="31">
        <f>ROUND(W201*AG$5/1200,2)</f>
        <v>0.0</v>
      </c>
      <c r="AH202" s="31">
        <f>ROUND(X201*AH$5/1200,2)</f>
        <v>0.0</v>
      </c>
      <c r="AI202" s="31">
        <f>ROUND(Y201*AI$5/1200,2)</f>
        <v>0.0</v>
      </c>
      <c r="AJ202" s="31">
        <f>ROUND(Z201*AJ$5/1200,2)</f>
        <v>0.0</v>
      </c>
      <c r="AK202" s="31">
        <f>ROUND(AA201*AK$5/1200,2)</f>
        <v>0.0</v>
      </c>
      <c r="AL202" s="31">
        <f>MIN(AL$5,R201+AB202)</f>
        <v>0.0</v>
      </c>
      <c r="AM202" s="31">
        <f>MIN(AM$5,S201+AC202)</f>
        <v>0.0</v>
      </c>
      <c r="AN202" s="31">
        <f>MIN(AN$5,T201+AD202)</f>
        <v>0.0</v>
      </c>
      <c r="AO202" s="31">
        <f>MIN(AO$5,U201+AE202)</f>
        <v>0.0</v>
      </c>
      <c r="AP202" s="31">
        <f>MIN(AP$5,V201+AF202)</f>
        <v>0.0</v>
      </c>
      <c r="AQ202" s="31">
        <f>MIN(AQ$5,W201+AG202)</f>
        <v>0.0</v>
      </c>
      <c r="AR202" s="31">
        <f>MIN(AR$5,X201+AH202)</f>
        <v>0.0</v>
      </c>
      <c r="AS202" s="31">
        <f>MIN(AS$5,Y201+AI202)</f>
        <v>0.0</v>
      </c>
      <c r="AT202" s="31">
        <f>MIN(AT$5,Z201+AJ202)</f>
        <v>0.0</v>
      </c>
      <c r="AU202" s="31">
        <f>MIN(AU$5,AA201+AK202)</f>
        <v>0.0</v>
      </c>
    </row>
    <row r="203">
      <c r="A203" s="25" t="str">
        <f>IF(F202&gt;0.005,198,"")</f>
        <v/>
      </c>
      <c r="B203" s="33" t="str">
        <f>IF(A203="","",EDATE(Долги!$D$5,197))</f>
        <v/>
      </c>
      <c r="C203" s="31">
        <f>SUM(H203:Q203)</f>
        <v>0.0</v>
      </c>
      <c r="D203" s="31">
        <f>SUM(AB203:AK203)</f>
        <v>0.0</v>
      </c>
      <c r="E203" s="31">
        <f>C203-D203</f>
        <v>0.0</v>
      </c>
      <c r="F203" s="31">
        <f>SUM(R203:AA203)</f>
        <v>0.0</v>
      </c>
      <c r="G203" s="34" t="str">
        <f>IF(OR(A203="",$F$5&lt;=0),"",REPT("█",ROUND(20*F203/$F$5,0)))</f>
        <v/>
      </c>
      <c r="H203" s="31">
        <f>AL203+MIN(R202+AB203-AL203,MAX(0,ROUND(Долги!$D$19-SUM($AL203:$AU203),2)))</f>
        <v>0.0</v>
      </c>
      <c r="I203" s="31">
        <f>AM203+MIN(S202+AC203-AM203,MAX(0,ROUND(ROUND(Долги!$D$19-SUM($AL203:$AU203),2)-(SUM($H203:H203)-SUM($AL203:AL203)),2)))</f>
        <v>0.0</v>
      </c>
      <c r="J203" s="31">
        <f>AN203+MIN(T202+AD203-AN203,MAX(0,ROUND(ROUND(Долги!$D$19-SUM($AL203:$AU203),2)-(SUM($H203:I203)-SUM($AL203:AM203)),2)))</f>
        <v>0.0</v>
      </c>
      <c r="K203" s="31">
        <f>AO203+MIN(U202+AE203-AO203,MAX(0,ROUND(ROUND(Долги!$D$19-SUM($AL203:$AU203),2)-(SUM($H203:J203)-SUM($AL203:AN203)),2)))</f>
        <v>0.0</v>
      </c>
      <c r="L203" s="31">
        <f>AP203+MIN(V202+AF203-AP203,MAX(0,ROUND(ROUND(Долги!$D$19-SUM($AL203:$AU203),2)-(SUM($H203:K203)-SUM($AL203:AO203)),2)))</f>
        <v>0.0</v>
      </c>
      <c r="M203" s="31">
        <f>AQ203+MIN(W202+AG203-AQ203,MAX(0,ROUND(ROUND(Долги!$D$19-SUM($AL203:$AU203),2)-(SUM($H203:L203)-SUM($AL203:AP203)),2)))</f>
        <v>0.0</v>
      </c>
      <c r="N203" s="31">
        <f>AR203+MIN(X202+AH203-AR203,MAX(0,ROUND(ROUND(Долги!$D$19-SUM($AL203:$AU203),2)-(SUM($H203:M203)-SUM($AL203:AQ203)),2)))</f>
        <v>0.0</v>
      </c>
      <c r="O203" s="31">
        <f>AS203+MIN(Y202+AI203-AS203,MAX(0,ROUND(ROUND(Долги!$D$19-SUM($AL203:$AU203),2)-(SUM($H203:N203)-SUM($AL203:AR203)),2)))</f>
        <v>0.0</v>
      </c>
      <c r="P203" s="31">
        <f>AT203+MIN(Z202+AJ203-AT203,MAX(0,ROUND(ROUND(Долги!$D$19-SUM($AL203:$AU203),2)-(SUM($H203:O203)-SUM($AL203:AS203)),2)))</f>
        <v>0.0</v>
      </c>
      <c r="Q203" s="31">
        <f>AU203+MIN(AA202+AK203-AU203,MAX(0,ROUND(ROUND(Долги!$D$19-SUM($AL203:$AU203),2)-(SUM($H203:P203)-SUM($AL203:AT203)),2)))</f>
        <v>0.0</v>
      </c>
      <c r="R203" s="31">
        <f>IF(R202+AB203-H203&lt;=0.01,0,ROUND(R202+AB203-H203,2))</f>
        <v>0.0</v>
      </c>
      <c r="S203" s="31">
        <f>IF(S202+AC203-I203&lt;=0.01,0,ROUND(S202+AC203-I203,2))</f>
        <v>0.0</v>
      </c>
      <c r="T203" s="31">
        <f>IF(T202+AD203-J203&lt;=0.01,0,ROUND(T202+AD203-J203,2))</f>
        <v>0.0</v>
      </c>
      <c r="U203" s="31">
        <f>IF(U202+AE203-K203&lt;=0.01,0,ROUND(U202+AE203-K203,2))</f>
        <v>0.0</v>
      </c>
      <c r="V203" s="31">
        <f>IF(V202+AF203-L203&lt;=0.01,0,ROUND(V202+AF203-L203,2))</f>
        <v>0.0</v>
      </c>
      <c r="W203" s="31">
        <f>IF(W202+AG203-M203&lt;=0.01,0,ROUND(W202+AG203-M203,2))</f>
        <v>0.0</v>
      </c>
      <c r="X203" s="31">
        <f>IF(X202+AH203-N203&lt;=0.01,0,ROUND(X202+AH203-N203,2))</f>
        <v>0.0</v>
      </c>
      <c r="Y203" s="31">
        <f>IF(Y202+AI203-O203&lt;=0.01,0,ROUND(Y202+AI203-O203,2))</f>
        <v>0.0</v>
      </c>
      <c r="Z203" s="31">
        <f>IF(Z202+AJ203-P203&lt;=0.01,0,ROUND(Z202+AJ203-P203,2))</f>
        <v>0.0</v>
      </c>
      <c r="AA203" s="31">
        <f>IF(AA202+AK203-Q203&lt;=0.01,0,ROUND(AA202+AK203-Q203,2))</f>
        <v>0.0</v>
      </c>
      <c r="AB203" s="31">
        <f>ROUND(R202*AB$5/1200,2)</f>
        <v>0.0</v>
      </c>
      <c r="AC203" s="31">
        <f>ROUND(S202*AC$5/1200,2)</f>
        <v>0.0</v>
      </c>
      <c r="AD203" s="31">
        <f>ROUND(T202*AD$5/1200,2)</f>
        <v>0.0</v>
      </c>
      <c r="AE203" s="31">
        <f>ROUND(U202*AE$5/1200,2)</f>
        <v>0.0</v>
      </c>
      <c r="AF203" s="31">
        <f>ROUND(V202*AF$5/1200,2)</f>
        <v>0.0</v>
      </c>
      <c r="AG203" s="31">
        <f>ROUND(W202*AG$5/1200,2)</f>
        <v>0.0</v>
      </c>
      <c r="AH203" s="31">
        <f>ROUND(X202*AH$5/1200,2)</f>
        <v>0.0</v>
      </c>
      <c r="AI203" s="31">
        <f>ROUND(Y202*AI$5/1200,2)</f>
        <v>0.0</v>
      </c>
      <c r="AJ203" s="31">
        <f>ROUND(Z202*AJ$5/1200,2)</f>
        <v>0.0</v>
      </c>
      <c r="AK203" s="31">
        <f>ROUND(AA202*AK$5/1200,2)</f>
        <v>0.0</v>
      </c>
      <c r="AL203" s="31">
        <f>MIN(AL$5,R202+AB203)</f>
        <v>0.0</v>
      </c>
      <c r="AM203" s="31">
        <f>MIN(AM$5,S202+AC203)</f>
        <v>0.0</v>
      </c>
      <c r="AN203" s="31">
        <f>MIN(AN$5,T202+AD203)</f>
        <v>0.0</v>
      </c>
      <c r="AO203" s="31">
        <f>MIN(AO$5,U202+AE203)</f>
        <v>0.0</v>
      </c>
      <c r="AP203" s="31">
        <f>MIN(AP$5,V202+AF203)</f>
        <v>0.0</v>
      </c>
      <c r="AQ203" s="31">
        <f>MIN(AQ$5,W202+AG203)</f>
        <v>0.0</v>
      </c>
      <c r="AR203" s="31">
        <f>MIN(AR$5,X202+AH203)</f>
        <v>0.0</v>
      </c>
      <c r="AS203" s="31">
        <f>MIN(AS$5,Y202+AI203)</f>
        <v>0.0</v>
      </c>
      <c r="AT203" s="31">
        <f>MIN(AT$5,Z202+AJ203)</f>
        <v>0.0</v>
      </c>
      <c r="AU203" s="31">
        <f>MIN(AU$5,AA202+AK203)</f>
        <v>0.0</v>
      </c>
    </row>
    <row r="204">
      <c r="A204" s="25" t="str">
        <f>IF(F203&gt;0.005,199,"")</f>
        <v/>
      </c>
      <c r="B204" s="33" t="str">
        <f>IF(A204="","",EDATE(Долги!$D$5,198))</f>
        <v/>
      </c>
      <c r="C204" s="31">
        <f>SUM(H204:Q204)</f>
        <v>0.0</v>
      </c>
      <c r="D204" s="31">
        <f>SUM(AB204:AK204)</f>
        <v>0.0</v>
      </c>
      <c r="E204" s="31">
        <f>C204-D204</f>
        <v>0.0</v>
      </c>
      <c r="F204" s="31">
        <f>SUM(R204:AA204)</f>
        <v>0.0</v>
      </c>
      <c r="G204" s="34" t="str">
        <f>IF(OR(A204="",$F$5&lt;=0),"",REPT("█",ROUND(20*F204/$F$5,0)))</f>
        <v/>
      </c>
      <c r="H204" s="31">
        <f>AL204+MIN(R203+AB204-AL204,MAX(0,ROUND(Долги!$D$19-SUM($AL204:$AU204),2)))</f>
        <v>0.0</v>
      </c>
      <c r="I204" s="31">
        <f>AM204+MIN(S203+AC204-AM204,MAX(0,ROUND(ROUND(Долги!$D$19-SUM($AL204:$AU204),2)-(SUM($H204:H204)-SUM($AL204:AL204)),2)))</f>
        <v>0.0</v>
      </c>
      <c r="J204" s="31">
        <f>AN204+MIN(T203+AD204-AN204,MAX(0,ROUND(ROUND(Долги!$D$19-SUM($AL204:$AU204),2)-(SUM($H204:I204)-SUM($AL204:AM204)),2)))</f>
        <v>0.0</v>
      </c>
      <c r="K204" s="31">
        <f>AO204+MIN(U203+AE204-AO204,MAX(0,ROUND(ROUND(Долги!$D$19-SUM($AL204:$AU204),2)-(SUM($H204:J204)-SUM($AL204:AN204)),2)))</f>
        <v>0.0</v>
      </c>
      <c r="L204" s="31">
        <f>AP204+MIN(V203+AF204-AP204,MAX(0,ROUND(ROUND(Долги!$D$19-SUM($AL204:$AU204),2)-(SUM($H204:K204)-SUM($AL204:AO204)),2)))</f>
        <v>0.0</v>
      </c>
      <c r="M204" s="31">
        <f>AQ204+MIN(W203+AG204-AQ204,MAX(0,ROUND(ROUND(Долги!$D$19-SUM($AL204:$AU204),2)-(SUM($H204:L204)-SUM($AL204:AP204)),2)))</f>
        <v>0.0</v>
      </c>
      <c r="N204" s="31">
        <f>AR204+MIN(X203+AH204-AR204,MAX(0,ROUND(ROUND(Долги!$D$19-SUM($AL204:$AU204),2)-(SUM($H204:M204)-SUM($AL204:AQ204)),2)))</f>
        <v>0.0</v>
      </c>
      <c r="O204" s="31">
        <f>AS204+MIN(Y203+AI204-AS204,MAX(0,ROUND(ROUND(Долги!$D$19-SUM($AL204:$AU204),2)-(SUM($H204:N204)-SUM($AL204:AR204)),2)))</f>
        <v>0.0</v>
      </c>
      <c r="P204" s="31">
        <f>AT204+MIN(Z203+AJ204-AT204,MAX(0,ROUND(ROUND(Долги!$D$19-SUM($AL204:$AU204),2)-(SUM($H204:O204)-SUM($AL204:AS204)),2)))</f>
        <v>0.0</v>
      </c>
      <c r="Q204" s="31">
        <f>AU204+MIN(AA203+AK204-AU204,MAX(0,ROUND(ROUND(Долги!$D$19-SUM($AL204:$AU204),2)-(SUM($H204:P204)-SUM($AL204:AT204)),2)))</f>
        <v>0.0</v>
      </c>
      <c r="R204" s="31">
        <f>IF(R203+AB204-H204&lt;=0.01,0,ROUND(R203+AB204-H204,2))</f>
        <v>0.0</v>
      </c>
      <c r="S204" s="31">
        <f>IF(S203+AC204-I204&lt;=0.01,0,ROUND(S203+AC204-I204,2))</f>
        <v>0.0</v>
      </c>
      <c r="T204" s="31">
        <f>IF(T203+AD204-J204&lt;=0.01,0,ROUND(T203+AD204-J204,2))</f>
        <v>0.0</v>
      </c>
      <c r="U204" s="31">
        <f>IF(U203+AE204-K204&lt;=0.01,0,ROUND(U203+AE204-K204,2))</f>
        <v>0.0</v>
      </c>
      <c r="V204" s="31">
        <f>IF(V203+AF204-L204&lt;=0.01,0,ROUND(V203+AF204-L204,2))</f>
        <v>0.0</v>
      </c>
      <c r="W204" s="31">
        <f>IF(W203+AG204-M204&lt;=0.01,0,ROUND(W203+AG204-M204,2))</f>
        <v>0.0</v>
      </c>
      <c r="X204" s="31">
        <f>IF(X203+AH204-N204&lt;=0.01,0,ROUND(X203+AH204-N204,2))</f>
        <v>0.0</v>
      </c>
      <c r="Y204" s="31">
        <f>IF(Y203+AI204-O204&lt;=0.01,0,ROUND(Y203+AI204-O204,2))</f>
        <v>0.0</v>
      </c>
      <c r="Z204" s="31">
        <f>IF(Z203+AJ204-P204&lt;=0.01,0,ROUND(Z203+AJ204-P204,2))</f>
        <v>0.0</v>
      </c>
      <c r="AA204" s="31">
        <f>IF(AA203+AK204-Q204&lt;=0.01,0,ROUND(AA203+AK204-Q204,2))</f>
        <v>0.0</v>
      </c>
      <c r="AB204" s="31">
        <f>ROUND(R203*AB$5/1200,2)</f>
        <v>0.0</v>
      </c>
      <c r="AC204" s="31">
        <f>ROUND(S203*AC$5/1200,2)</f>
        <v>0.0</v>
      </c>
      <c r="AD204" s="31">
        <f>ROUND(T203*AD$5/1200,2)</f>
        <v>0.0</v>
      </c>
      <c r="AE204" s="31">
        <f>ROUND(U203*AE$5/1200,2)</f>
        <v>0.0</v>
      </c>
      <c r="AF204" s="31">
        <f>ROUND(V203*AF$5/1200,2)</f>
        <v>0.0</v>
      </c>
      <c r="AG204" s="31">
        <f>ROUND(W203*AG$5/1200,2)</f>
        <v>0.0</v>
      </c>
      <c r="AH204" s="31">
        <f>ROUND(X203*AH$5/1200,2)</f>
        <v>0.0</v>
      </c>
      <c r="AI204" s="31">
        <f>ROUND(Y203*AI$5/1200,2)</f>
        <v>0.0</v>
      </c>
      <c r="AJ204" s="31">
        <f>ROUND(Z203*AJ$5/1200,2)</f>
        <v>0.0</v>
      </c>
      <c r="AK204" s="31">
        <f>ROUND(AA203*AK$5/1200,2)</f>
        <v>0.0</v>
      </c>
      <c r="AL204" s="31">
        <f>MIN(AL$5,R203+AB204)</f>
        <v>0.0</v>
      </c>
      <c r="AM204" s="31">
        <f>MIN(AM$5,S203+AC204)</f>
        <v>0.0</v>
      </c>
      <c r="AN204" s="31">
        <f>MIN(AN$5,T203+AD204)</f>
        <v>0.0</v>
      </c>
      <c r="AO204" s="31">
        <f>MIN(AO$5,U203+AE204)</f>
        <v>0.0</v>
      </c>
      <c r="AP204" s="31">
        <f>MIN(AP$5,V203+AF204)</f>
        <v>0.0</v>
      </c>
      <c r="AQ204" s="31">
        <f>MIN(AQ$5,W203+AG204)</f>
        <v>0.0</v>
      </c>
      <c r="AR204" s="31">
        <f>MIN(AR$5,X203+AH204)</f>
        <v>0.0</v>
      </c>
      <c r="AS204" s="31">
        <f>MIN(AS$5,Y203+AI204)</f>
        <v>0.0</v>
      </c>
      <c r="AT204" s="31">
        <f>MIN(AT$5,Z203+AJ204)</f>
        <v>0.0</v>
      </c>
      <c r="AU204" s="31">
        <f>MIN(AU$5,AA203+AK204)</f>
        <v>0.0</v>
      </c>
    </row>
    <row r="205">
      <c r="A205" s="25" t="str">
        <f>IF(F204&gt;0.005,200,"")</f>
        <v/>
      </c>
      <c r="B205" s="33" t="str">
        <f>IF(A205="","",EDATE(Долги!$D$5,199))</f>
        <v/>
      </c>
      <c r="C205" s="31">
        <f>SUM(H205:Q205)</f>
        <v>0.0</v>
      </c>
      <c r="D205" s="31">
        <f>SUM(AB205:AK205)</f>
        <v>0.0</v>
      </c>
      <c r="E205" s="31">
        <f>C205-D205</f>
        <v>0.0</v>
      </c>
      <c r="F205" s="31">
        <f>SUM(R205:AA205)</f>
        <v>0.0</v>
      </c>
      <c r="G205" s="34" t="str">
        <f>IF(OR(A205="",$F$5&lt;=0),"",REPT("█",ROUND(20*F205/$F$5,0)))</f>
        <v/>
      </c>
      <c r="H205" s="31">
        <f>AL205+MIN(R204+AB205-AL205,MAX(0,ROUND(Долги!$D$19-SUM($AL205:$AU205),2)))</f>
        <v>0.0</v>
      </c>
      <c r="I205" s="31">
        <f>AM205+MIN(S204+AC205-AM205,MAX(0,ROUND(ROUND(Долги!$D$19-SUM($AL205:$AU205),2)-(SUM($H205:H205)-SUM($AL205:AL205)),2)))</f>
        <v>0.0</v>
      </c>
      <c r="J205" s="31">
        <f>AN205+MIN(T204+AD205-AN205,MAX(0,ROUND(ROUND(Долги!$D$19-SUM($AL205:$AU205),2)-(SUM($H205:I205)-SUM($AL205:AM205)),2)))</f>
        <v>0.0</v>
      </c>
      <c r="K205" s="31">
        <f>AO205+MIN(U204+AE205-AO205,MAX(0,ROUND(ROUND(Долги!$D$19-SUM($AL205:$AU205),2)-(SUM($H205:J205)-SUM($AL205:AN205)),2)))</f>
        <v>0.0</v>
      </c>
      <c r="L205" s="31">
        <f>AP205+MIN(V204+AF205-AP205,MAX(0,ROUND(ROUND(Долги!$D$19-SUM($AL205:$AU205),2)-(SUM($H205:K205)-SUM($AL205:AO205)),2)))</f>
        <v>0.0</v>
      </c>
      <c r="M205" s="31">
        <f>AQ205+MIN(W204+AG205-AQ205,MAX(0,ROUND(ROUND(Долги!$D$19-SUM($AL205:$AU205),2)-(SUM($H205:L205)-SUM($AL205:AP205)),2)))</f>
        <v>0.0</v>
      </c>
      <c r="N205" s="31">
        <f>AR205+MIN(X204+AH205-AR205,MAX(0,ROUND(ROUND(Долги!$D$19-SUM($AL205:$AU205),2)-(SUM($H205:M205)-SUM($AL205:AQ205)),2)))</f>
        <v>0.0</v>
      </c>
      <c r="O205" s="31">
        <f>AS205+MIN(Y204+AI205-AS205,MAX(0,ROUND(ROUND(Долги!$D$19-SUM($AL205:$AU205),2)-(SUM($H205:N205)-SUM($AL205:AR205)),2)))</f>
        <v>0.0</v>
      </c>
      <c r="P205" s="31">
        <f>AT205+MIN(Z204+AJ205-AT205,MAX(0,ROUND(ROUND(Долги!$D$19-SUM($AL205:$AU205),2)-(SUM($H205:O205)-SUM($AL205:AS205)),2)))</f>
        <v>0.0</v>
      </c>
      <c r="Q205" s="31">
        <f>AU205+MIN(AA204+AK205-AU205,MAX(0,ROUND(ROUND(Долги!$D$19-SUM($AL205:$AU205),2)-(SUM($H205:P205)-SUM($AL205:AT205)),2)))</f>
        <v>0.0</v>
      </c>
      <c r="R205" s="31">
        <f>IF(R204+AB205-H205&lt;=0.01,0,ROUND(R204+AB205-H205,2))</f>
        <v>0.0</v>
      </c>
      <c r="S205" s="31">
        <f>IF(S204+AC205-I205&lt;=0.01,0,ROUND(S204+AC205-I205,2))</f>
        <v>0.0</v>
      </c>
      <c r="T205" s="31">
        <f>IF(T204+AD205-J205&lt;=0.01,0,ROUND(T204+AD205-J205,2))</f>
        <v>0.0</v>
      </c>
      <c r="U205" s="31">
        <f>IF(U204+AE205-K205&lt;=0.01,0,ROUND(U204+AE205-K205,2))</f>
        <v>0.0</v>
      </c>
      <c r="V205" s="31">
        <f>IF(V204+AF205-L205&lt;=0.01,0,ROUND(V204+AF205-L205,2))</f>
        <v>0.0</v>
      </c>
      <c r="W205" s="31">
        <f>IF(W204+AG205-M205&lt;=0.01,0,ROUND(W204+AG205-M205,2))</f>
        <v>0.0</v>
      </c>
      <c r="X205" s="31">
        <f>IF(X204+AH205-N205&lt;=0.01,0,ROUND(X204+AH205-N205,2))</f>
        <v>0.0</v>
      </c>
      <c r="Y205" s="31">
        <f>IF(Y204+AI205-O205&lt;=0.01,0,ROUND(Y204+AI205-O205,2))</f>
        <v>0.0</v>
      </c>
      <c r="Z205" s="31">
        <f>IF(Z204+AJ205-P205&lt;=0.01,0,ROUND(Z204+AJ205-P205,2))</f>
        <v>0.0</v>
      </c>
      <c r="AA205" s="31">
        <f>IF(AA204+AK205-Q205&lt;=0.01,0,ROUND(AA204+AK205-Q205,2))</f>
        <v>0.0</v>
      </c>
      <c r="AB205" s="31">
        <f>ROUND(R204*AB$5/1200,2)</f>
        <v>0.0</v>
      </c>
      <c r="AC205" s="31">
        <f>ROUND(S204*AC$5/1200,2)</f>
        <v>0.0</v>
      </c>
      <c r="AD205" s="31">
        <f>ROUND(T204*AD$5/1200,2)</f>
        <v>0.0</v>
      </c>
      <c r="AE205" s="31">
        <f>ROUND(U204*AE$5/1200,2)</f>
        <v>0.0</v>
      </c>
      <c r="AF205" s="31">
        <f>ROUND(V204*AF$5/1200,2)</f>
        <v>0.0</v>
      </c>
      <c r="AG205" s="31">
        <f>ROUND(W204*AG$5/1200,2)</f>
        <v>0.0</v>
      </c>
      <c r="AH205" s="31">
        <f>ROUND(X204*AH$5/1200,2)</f>
        <v>0.0</v>
      </c>
      <c r="AI205" s="31">
        <f>ROUND(Y204*AI$5/1200,2)</f>
        <v>0.0</v>
      </c>
      <c r="AJ205" s="31">
        <f>ROUND(Z204*AJ$5/1200,2)</f>
        <v>0.0</v>
      </c>
      <c r="AK205" s="31">
        <f>ROUND(AA204*AK$5/1200,2)</f>
        <v>0.0</v>
      </c>
      <c r="AL205" s="31">
        <f>MIN(AL$5,R204+AB205)</f>
        <v>0.0</v>
      </c>
      <c r="AM205" s="31">
        <f>MIN(AM$5,S204+AC205)</f>
        <v>0.0</v>
      </c>
      <c r="AN205" s="31">
        <f>MIN(AN$5,T204+AD205)</f>
        <v>0.0</v>
      </c>
      <c r="AO205" s="31">
        <f>MIN(AO$5,U204+AE205)</f>
        <v>0.0</v>
      </c>
      <c r="AP205" s="31">
        <f>MIN(AP$5,V204+AF205)</f>
        <v>0.0</v>
      </c>
      <c r="AQ205" s="31">
        <f>MIN(AQ$5,W204+AG205)</f>
        <v>0.0</v>
      </c>
      <c r="AR205" s="31">
        <f>MIN(AR$5,X204+AH205)</f>
        <v>0.0</v>
      </c>
      <c r="AS205" s="31">
        <f>MIN(AS$5,Y204+AI205)</f>
        <v>0.0</v>
      </c>
      <c r="AT205" s="31">
        <f>MIN(AT$5,Z204+AJ205)</f>
        <v>0.0</v>
      </c>
      <c r="AU205" s="31">
        <f>MIN(AU$5,AA204+AK205)</f>
        <v>0.0</v>
      </c>
    </row>
    <row r="206">
      <c r="A206" s="25" t="str">
        <f>IF(F205&gt;0.005,201,"")</f>
        <v/>
      </c>
      <c r="B206" s="33" t="str">
        <f>IF(A206="","",EDATE(Долги!$D$5,200))</f>
        <v/>
      </c>
      <c r="C206" s="31">
        <f>SUM(H206:Q206)</f>
        <v>0.0</v>
      </c>
      <c r="D206" s="31">
        <f>SUM(AB206:AK206)</f>
        <v>0.0</v>
      </c>
      <c r="E206" s="31">
        <f>C206-D206</f>
        <v>0.0</v>
      </c>
      <c r="F206" s="31">
        <f>SUM(R206:AA206)</f>
        <v>0.0</v>
      </c>
      <c r="G206" s="34" t="str">
        <f>IF(OR(A206="",$F$5&lt;=0),"",REPT("█",ROUND(20*F206/$F$5,0)))</f>
        <v/>
      </c>
      <c r="H206" s="31">
        <f>AL206+MIN(R205+AB206-AL206,MAX(0,ROUND(Долги!$D$19-SUM($AL206:$AU206),2)))</f>
        <v>0.0</v>
      </c>
      <c r="I206" s="31">
        <f>AM206+MIN(S205+AC206-AM206,MAX(0,ROUND(ROUND(Долги!$D$19-SUM($AL206:$AU206),2)-(SUM($H206:H206)-SUM($AL206:AL206)),2)))</f>
        <v>0.0</v>
      </c>
      <c r="J206" s="31">
        <f>AN206+MIN(T205+AD206-AN206,MAX(0,ROUND(ROUND(Долги!$D$19-SUM($AL206:$AU206),2)-(SUM($H206:I206)-SUM($AL206:AM206)),2)))</f>
        <v>0.0</v>
      </c>
      <c r="K206" s="31">
        <f>AO206+MIN(U205+AE206-AO206,MAX(0,ROUND(ROUND(Долги!$D$19-SUM($AL206:$AU206),2)-(SUM($H206:J206)-SUM($AL206:AN206)),2)))</f>
        <v>0.0</v>
      </c>
      <c r="L206" s="31">
        <f>AP206+MIN(V205+AF206-AP206,MAX(0,ROUND(ROUND(Долги!$D$19-SUM($AL206:$AU206),2)-(SUM($H206:K206)-SUM($AL206:AO206)),2)))</f>
        <v>0.0</v>
      </c>
      <c r="M206" s="31">
        <f>AQ206+MIN(W205+AG206-AQ206,MAX(0,ROUND(ROUND(Долги!$D$19-SUM($AL206:$AU206),2)-(SUM($H206:L206)-SUM($AL206:AP206)),2)))</f>
        <v>0.0</v>
      </c>
      <c r="N206" s="31">
        <f>AR206+MIN(X205+AH206-AR206,MAX(0,ROUND(ROUND(Долги!$D$19-SUM($AL206:$AU206),2)-(SUM($H206:M206)-SUM($AL206:AQ206)),2)))</f>
        <v>0.0</v>
      </c>
      <c r="O206" s="31">
        <f>AS206+MIN(Y205+AI206-AS206,MAX(0,ROUND(ROUND(Долги!$D$19-SUM($AL206:$AU206),2)-(SUM($H206:N206)-SUM($AL206:AR206)),2)))</f>
        <v>0.0</v>
      </c>
      <c r="P206" s="31">
        <f>AT206+MIN(Z205+AJ206-AT206,MAX(0,ROUND(ROUND(Долги!$D$19-SUM($AL206:$AU206),2)-(SUM($H206:O206)-SUM($AL206:AS206)),2)))</f>
        <v>0.0</v>
      </c>
      <c r="Q206" s="31">
        <f>AU206+MIN(AA205+AK206-AU206,MAX(0,ROUND(ROUND(Долги!$D$19-SUM($AL206:$AU206),2)-(SUM($H206:P206)-SUM($AL206:AT206)),2)))</f>
        <v>0.0</v>
      </c>
      <c r="R206" s="31">
        <f>IF(R205+AB206-H206&lt;=0.01,0,ROUND(R205+AB206-H206,2))</f>
        <v>0.0</v>
      </c>
      <c r="S206" s="31">
        <f>IF(S205+AC206-I206&lt;=0.01,0,ROUND(S205+AC206-I206,2))</f>
        <v>0.0</v>
      </c>
      <c r="T206" s="31">
        <f>IF(T205+AD206-J206&lt;=0.01,0,ROUND(T205+AD206-J206,2))</f>
        <v>0.0</v>
      </c>
      <c r="U206" s="31">
        <f>IF(U205+AE206-K206&lt;=0.01,0,ROUND(U205+AE206-K206,2))</f>
        <v>0.0</v>
      </c>
      <c r="V206" s="31">
        <f>IF(V205+AF206-L206&lt;=0.01,0,ROUND(V205+AF206-L206,2))</f>
        <v>0.0</v>
      </c>
      <c r="W206" s="31">
        <f>IF(W205+AG206-M206&lt;=0.01,0,ROUND(W205+AG206-M206,2))</f>
        <v>0.0</v>
      </c>
      <c r="X206" s="31">
        <f>IF(X205+AH206-N206&lt;=0.01,0,ROUND(X205+AH206-N206,2))</f>
        <v>0.0</v>
      </c>
      <c r="Y206" s="31">
        <f>IF(Y205+AI206-O206&lt;=0.01,0,ROUND(Y205+AI206-O206,2))</f>
        <v>0.0</v>
      </c>
      <c r="Z206" s="31">
        <f>IF(Z205+AJ206-P206&lt;=0.01,0,ROUND(Z205+AJ206-P206,2))</f>
        <v>0.0</v>
      </c>
      <c r="AA206" s="31">
        <f>IF(AA205+AK206-Q206&lt;=0.01,0,ROUND(AA205+AK206-Q206,2))</f>
        <v>0.0</v>
      </c>
      <c r="AB206" s="31">
        <f>ROUND(R205*AB$5/1200,2)</f>
        <v>0.0</v>
      </c>
      <c r="AC206" s="31">
        <f>ROUND(S205*AC$5/1200,2)</f>
        <v>0.0</v>
      </c>
      <c r="AD206" s="31">
        <f>ROUND(T205*AD$5/1200,2)</f>
        <v>0.0</v>
      </c>
      <c r="AE206" s="31">
        <f>ROUND(U205*AE$5/1200,2)</f>
        <v>0.0</v>
      </c>
      <c r="AF206" s="31">
        <f>ROUND(V205*AF$5/1200,2)</f>
        <v>0.0</v>
      </c>
      <c r="AG206" s="31">
        <f>ROUND(W205*AG$5/1200,2)</f>
        <v>0.0</v>
      </c>
      <c r="AH206" s="31">
        <f>ROUND(X205*AH$5/1200,2)</f>
        <v>0.0</v>
      </c>
      <c r="AI206" s="31">
        <f>ROUND(Y205*AI$5/1200,2)</f>
        <v>0.0</v>
      </c>
      <c r="AJ206" s="31">
        <f>ROUND(Z205*AJ$5/1200,2)</f>
        <v>0.0</v>
      </c>
      <c r="AK206" s="31">
        <f>ROUND(AA205*AK$5/1200,2)</f>
        <v>0.0</v>
      </c>
      <c r="AL206" s="31">
        <f>MIN(AL$5,R205+AB206)</f>
        <v>0.0</v>
      </c>
      <c r="AM206" s="31">
        <f>MIN(AM$5,S205+AC206)</f>
        <v>0.0</v>
      </c>
      <c r="AN206" s="31">
        <f>MIN(AN$5,T205+AD206)</f>
        <v>0.0</v>
      </c>
      <c r="AO206" s="31">
        <f>MIN(AO$5,U205+AE206)</f>
        <v>0.0</v>
      </c>
      <c r="AP206" s="31">
        <f>MIN(AP$5,V205+AF206)</f>
        <v>0.0</v>
      </c>
      <c r="AQ206" s="31">
        <f>MIN(AQ$5,W205+AG206)</f>
        <v>0.0</v>
      </c>
      <c r="AR206" s="31">
        <f>MIN(AR$5,X205+AH206)</f>
        <v>0.0</v>
      </c>
      <c r="AS206" s="31">
        <f>MIN(AS$5,Y205+AI206)</f>
        <v>0.0</v>
      </c>
      <c r="AT206" s="31">
        <f>MIN(AT$5,Z205+AJ206)</f>
        <v>0.0</v>
      </c>
      <c r="AU206" s="31">
        <f>MIN(AU$5,AA205+AK206)</f>
        <v>0.0</v>
      </c>
    </row>
    <row r="207">
      <c r="A207" s="25" t="str">
        <f>IF(F206&gt;0.005,202,"")</f>
        <v/>
      </c>
      <c r="B207" s="33" t="str">
        <f>IF(A207="","",EDATE(Долги!$D$5,201))</f>
        <v/>
      </c>
      <c r="C207" s="31">
        <f>SUM(H207:Q207)</f>
        <v>0.0</v>
      </c>
      <c r="D207" s="31">
        <f>SUM(AB207:AK207)</f>
        <v>0.0</v>
      </c>
      <c r="E207" s="31">
        <f>C207-D207</f>
        <v>0.0</v>
      </c>
      <c r="F207" s="31">
        <f>SUM(R207:AA207)</f>
        <v>0.0</v>
      </c>
      <c r="G207" s="34" t="str">
        <f>IF(OR(A207="",$F$5&lt;=0),"",REPT("█",ROUND(20*F207/$F$5,0)))</f>
        <v/>
      </c>
      <c r="H207" s="31">
        <f>AL207+MIN(R206+AB207-AL207,MAX(0,ROUND(Долги!$D$19-SUM($AL207:$AU207),2)))</f>
        <v>0.0</v>
      </c>
      <c r="I207" s="31">
        <f>AM207+MIN(S206+AC207-AM207,MAX(0,ROUND(ROUND(Долги!$D$19-SUM($AL207:$AU207),2)-(SUM($H207:H207)-SUM($AL207:AL207)),2)))</f>
        <v>0.0</v>
      </c>
      <c r="J207" s="31">
        <f>AN207+MIN(T206+AD207-AN207,MAX(0,ROUND(ROUND(Долги!$D$19-SUM($AL207:$AU207),2)-(SUM($H207:I207)-SUM($AL207:AM207)),2)))</f>
        <v>0.0</v>
      </c>
      <c r="K207" s="31">
        <f>AO207+MIN(U206+AE207-AO207,MAX(0,ROUND(ROUND(Долги!$D$19-SUM($AL207:$AU207),2)-(SUM($H207:J207)-SUM($AL207:AN207)),2)))</f>
        <v>0.0</v>
      </c>
      <c r="L207" s="31">
        <f>AP207+MIN(V206+AF207-AP207,MAX(0,ROUND(ROUND(Долги!$D$19-SUM($AL207:$AU207),2)-(SUM($H207:K207)-SUM($AL207:AO207)),2)))</f>
        <v>0.0</v>
      </c>
      <c r="M207" s="31">
        <f>AQ207+MIN(W206+AG207-AQ207,MAX(0,ROUND(ROUND(Долги!$D$19-SUM($AL207:$AU207),2)-(SUM($H207:L207)-SUM($AL207:AP207)),2)))</f>
        <v>0.0</v>
      </c>
      <c r="N207" s="31">
        <f>AR207+MIN(X206+AH207-AR207,MAX(0,ROUND(ROUND(Долги!$D$19-SUM($AL207:$AU207),2)-(SUM($H207:M207)-SUM($AL207:AQ207)),2)))</f>
        <v>0.0</v>
      </c>
      <c r="O207" s="31">
        <f>AS207+MIN(Y206+AI207-AS207,MAX(0,ROUND(ROUND(Долги!$D$19-SUM($AL207:$AU207),2)-(SUM($H207:N207)-SUM($AL207:AR207)),2)))</f>
        <v>0.0</v>
      </c>
      <c r="P207" s="31">
        <f>AT207+MIN(Z206+AJ207-AT207,MAX(0,ROUND(ROUND(Долги!$D$19-SUM($AL207:$AU207),2)-(SUM($H207:O207)-SUM($AL207:AS207)),2)))</f>
        <v>0.0</v>
      </c>
      <c r="Q207" s="31">
        <f>AU207+MIN(AA206+AK207-AU207,MAX(0,ROUND(ROUND(Долги!$D$19-SUM($AL207:$AU207),2)-(SUM($H207:P207)-SUM($AL207:AT207)),2)))</f>
        <v>0.0</v>
      </c>
      <c r="R207" s="31">
        <f>IF(R206+AB207-H207&lt;=0.01,0,ROUND(R206+AB207-H207,2))</f>
        <v>0.0</v>
      </c>
      <c r="S207" s="31">
        <f>IF(S206+AC207-I207&lt;=0.01,0,ROUND(S206+AC207-I207,2))</f>
        <v>0.0</v>
      </c>
      <c r="T207" s="31">
        <f>IF(T206+AD207-J207&lt;=0.01,0,ROUND(T206+AD207-J207,2))</f>
        <v>0.0</v>
      </c>
      <c r="U207" s="31">
        <f>IF(U206+AE207-K207&lt;=0.01,0,ROUND(U206+AE207-K207,2))</f>
        <v>0.0</v>
      </c>
      <c r="V207" s="31">
        <f>IF(V206+AF207-L207&lt;=0.01,0,ROUND(V206+AF207-L207,2))</f>
        <v>0.0</v>
      </c>
      <c r="W207" s="31">
        <f>IF(W206+AG207-M207&lt;=0.01,0,ROUND(W206+AG207-M207,2))</f>
        <v>0.0</v>
      </c>
      <c r="X207" s="31">
        <f>IF(X206+AH207-N207&lt;=0.01,0,ROUND(X206+AH207-N207,2))</f>
        <v>0.0</v>
      </c>
      <c r="Y207" s="31">
        <f>IF(Y206+AI207-O207&lt;=0.01,0,ROUND(Y206+AI207-O207,2))</f>
        <v>0.0</v>
      </c>
      <c r="Z207" s="31">
        <f>IF(Z206+AJ207-P207&lt;=0.01,0,ROUND(Z206+AJ207-P207,2))</f>
        <v>0.0</v>
      </c>
      <c r="AA207" s="31">
        <f>IF(AA206+AK207-Q207&lt;=0.01,0,ROUND(AA206+AK207-Q207,2))</f>
        <v>0.0</v>
      </c>
      <c r="AB207" s="31">
        <f>ROUND(R206*AB$5/1200,2)</f>
        <v>0.0</v>
      </c>
      <c r="AC207" s="31">
        <f>ROUND(S206*AC$5/1200,2)</f>
        <v>0.0</v>
      </c>
      <c r="AD207" s="31">
        <f>ROUND(T206*AD$5/1200,2)</f>
        <v>0.0</v>
      </c>
      <c r="AE207" s="31">
        <f>ROUND(U206*AE$5/1200,2)</f>
        <v>0.0</v>
      </c>
      <c r="AF207" s="31">
        <f>ROUND(V206*AF$5/1200,2)</f>
        <v>0.0</v>
      </c>
      <c r="AG207" s="31">
        <f>ROUND(W206*AG$5/1200,2)</f>
        <v>0.0</v>
      </c>
      <c r="AH207" s="31">
        <f>ROUND(X206*AH$5/1200,2)</f>
        <v>0.0</v>
      </c>
      <c r="AI207" s="31">
        <f>ROUND(Y206*AI$5/1200,2)</f>
        <v>0.0</v>
      </c>
      <c r="AJ207" s="31">
        <f>ROUND(Z206*AJ$5/1200,2)</f>
        <v>0.0</v>
      </c>
      <c r="AK207" s="31">
        <f>ROUND(AA206*AK$5/1200,2)</f>
        <v>0.0</v>
      </c>
      <c r="AL207" s="31">
        <f>MIN(AL$5,R206+AB207)</f>
        <v>0.0</v>
      </c>
      <c r="AM207" s="31">
        <f>MIN(AM$5,S206+AC207)</f>
        <v>0.0</v>
      </c>
      <c r="AN207" s="31">
        <f>MIN(AN$5,T206+AD207)</f>
        <v>0.0</v>
      </c>
      <c r="AO207" s="31">
        <f>MIN(AO$5,U206+AE207)</f>
        <v>0.0</v>
      </c>
      <c r="AP207" s="31">
        <f>MIN(AP$5,V206+AF207)</f>
        <v>0.0</v>
      </c>
      <c r="AQ207" s="31">
        <f>MIN(AQ$5,W206+AG207)</f>
        <v>0.0</v>
      </c>
      <c r="AR207" s="31">
        <f>MIN(AR$5,X206+AH207)</f>
        <v>0.0</v>
      </c>
      <c r="AS207" s="31">
        <f>MIN(AS$5,Y206+AI207)</f>
        <v>0.0</v>
      </c>
      <c r="AT207" s="31">
        <f>MIN(AT$5,Z206+AJ207)</f>
        <v>0.0</v>
      </c>
      <c r="AU207" s="31">
        <f>MIN(AU$5,AA206+AK207)</f>
        <v>0.0</v>
      </c>
    </row>
    <row r="208">
      <c r="A208" s="25" t="str">
        <f>IF(F207&gt;0.005,203,"")</f>
        <v/>
      </c>
      <c r="B208" s="33" t="str">
        <f>IF(A208="","",EDATE(Долги!$D$5,202))</f>
        <v/>
      </c>
      <c r="C208" s="31">
        <f>SUM(H208:Q208)</f>
        <v>0.0</v>
      </c>
      <c r="D208" s="31">
        <f>SUM(AB208:AK208)</f>
        <v>0.0</v>
      </c>
      <c r="E208" s="31">
        <f>C208-D208</f>
        <v>0.0</v>
      </c>
      <c r="F208" s="31">
        <f>SUM(R208:AA208)</f>
        <v>0.0</v>
      </c>
      <c r="G208" s="34" t="str">
        <f>IF(OR(A208="",$F$5&lt;=0),"",REPT("█",ROUND(20*F208/$F$5,0)))</f>
        <v/>
      </c>
      <c r="H208" s="31">
        <f>AL208+MIN(R207+AB208-AL208,MAX(0,ROUND(Долги!$D$19-SUM($AL208:$AU208),2)))</f>
        <v>0.0</v>
      </c>
      <c r="I208" s="31">
        <f>AM208+MIN(S207+AC208-AM208,MAX(0,ROUND(ROUND(Долги!$D$19-SUM($AL208:$AU208),2)-(SUM($H208:H208)-SUM($AL208:AL208)),2)))</f>
        <v>0.0</v>
      </c>
      <c r="J208" s="31">
        <f>AN208+MIN(T207+AD208-AN208,MAX(0,ROUND(ROUND(Долги!$D$19-SUM($AL208:$AU208),2)-(SUM($H208:I208)-SUM($AL208:AM208)),2)))</f>
        <v>0.0</v>
      </c>
      <c r="K208" s="31">
        <f>AO208+MIN(U207+AE208-AO208,MAX(0,ROUND(ROUND(Долги!$D$19-SUM($AL208:$AU208),2)-(SUM($H208:J208)-SUM($AL208:AN208)),2)))</f>
        <v>0.0</v>
      </c>
      <c r="L208" s="31">
        <f>AP208+MIN(V207+AF208-AP208,MAX(0,ROUND(ROUND(Долги!$D$19-SUM($AL208:$AU208),2)-(SUM($H208:K208)-SUM($AL208:AO208)),2)))</f>
        <v>0.0</v>
      </c>
      <c r="M208" s="31">
        <f>AQ208+MIN(W207+AG208-AQ208,MAX(0,ROUND(ROUND(Долги!$D$19-SUM($AL208:$AU208),2)-(SUM($H208:L208)-SUM($AL208:AP208)),2)))</f>
        <v>0.0</v>
      </c>
      <c r="N208" s="31">
        <f>AR208+MIN(X207+AH208-AR208,MAX(0,ROUND(ROUND(Долги!$D$19-SUM($AL208:$AU208),2)-(SUM($H208:M208)-SUM($AL208:AQ208)),2)))</f>
        <v>0.0</v>
      </c>
      <c r="O208" s="31">
        <f>AS208+MIN(Y207+AI208-AS208,MAX(0,ROUND(ROUND(Долги!$D$19-SUM($AL208:$AU208),2)-(SUM($H208:N208)-SUM($AL208:AR208)),2)))</f>
        <v>0.0</v>
      </c>
      <c r="P208" s="31">
        <f>AT208+MIN(Z207+AJ208-AT208,MAX(0,ROUND(ROUND(Долги!$D$19-SUM($AL208:$AU208),2)-(SUM($H208:O208)-SUM($AL208:AS208)),2)))</f>
        <v>0.0</v>
      </c>
      <c r="Q208" s="31">
        <f>AU208+MIN(AA207+AK208-AU208,MAX(0,ROUND(ROUND(Долги!$D$19-SUM($AL208:$AU208),2)-(SUM($H208:P208)-SUM($AL208:AT208)),2)))</f>
        <v>0.0</v>
      </c>
      <c r="R208" s="31">
        <f>IF(R207+AB208-H208&lt;=0.01,0,ROUND(R207+AB208-H208,2))</f>
        <v>0.0</v>
      </c>
      <c r="S208" s="31">
        <f>IF(S207+AC208-I208&lt;=0.01,0,ROUND(S207+AC208-I208,2))</f>
        <v>0.0</v>
      </c>
      <c r="T208" s="31">
        <f>IF(T207+AD208-J208&lt;=0.01,0,ROUND(T207+AD208-J208,2))</f>
        <v>0.0</v>
      </c>
      <c r="U208" s="31">
        <f>IF(U207+AE208-K208&lt;=0.01,0,ROUND(U207+AE208-K208,2))</f>
        <v>0.0</v>
      </c>
      <c r="V208" s="31">
        <f>IF(V207+AF208-L208&lt;=0.01,0,ROUND(V207+AF208-L208,2))</f>
        <v>0.0</v>
      </c>
      <c r="W208" s="31">
        <f>IF(W207+AG208-M208&lt;=0.01,0,ROUND(W207+AG208-M208,2))</f>
        <v>0.0</v>
      </c>
      <c r="X208" s="31">
        <f>IF(X207+AH208-N208&lt;=0.01,0,ROUND(X207+AH208-N208,2))</f>
        <v>0.0</v>
      </c>
      <c r="Y208" s="31">
        <f>IF(Y207+AI208-O208&lt;=0.01,0,ROUND(Y207+AI208-O208,2))</f>
        <v>0.0</v>
      </c>
      <c r="Z208" s="31">
        <f>IF(Z207+AJ208-P208&lt;=0.01,0,ROUND(Z207+AJ208-P208,2))</f>
        <v>0.0</v>
      </c>
      <c r="AA208" s="31">
        <f>IF(AA207+AK208-Q208&lt;=0.01,0,ROUND(AA207+AK208-Q208,2))</f>
        <v>0.0</v>
      </c>
      <c r="AB208" s="31">
        <f>ROUND(R207*AB$5/1200,2)</f>
        <v>0.0</v>
      </c>
      <c r="AC208" s="31">
        <f>ROUND(S207*AC$5/1200,2)</f>
        <v>0.0</v>
      </c>
      <c r="AD208" s="31">
        <f>ROUND(T207*AD$5/1200,2)</f>
        <v>0.0</v>
      </c>
      <c r="AE208" s="31">
        <f>ROUND(U207*AE$5/1200,2)</f>
        <v>0.0</v>
      </c>
      <c r="AF208" s="31">
        <f>ROUND(V207*AF$5/1200,2)</f>
        <v>0.0</v>
      </c>
      <c r="AG208" s="31">
        <f>ROUND(W207*AG$5/1200,2)</f>
        <v>0.0</v>
      </c>
      <c r="AH208" s="31">
        <f>ROUND(X207*AH$5/1200,2)</f>
        <v>0.0</v>
      </c>
      <c r="AI208" s="31">
        <f>ROUND(Y207*AI$5/1200,2)</f>
        <v>0.0</v>
      </c>
      <c r="AJ208" s="31">
        <f>ROUND(Z207*AJ$5/1200,2)</f>
        <v>0.0</v>
      </c>
      <c r="AK208" s="31">
        <f>ROUND(AA207*AK$5/1200,2)</f>
        <v>0.0</v>
      </c>
      <c r="AL208" s="31">
        <f>MIN(AL$5,R207+AB208)</f>
        <v>0.0</v>
      </c>
      <c r="AM208" s="31">
        <f>MIN(AM$5,S207+AC208)</f>
        <v>0.0</v>
      </c>
      <c r="AN208" s="31">
        <f>MIN(AN$5,T207+AD208)</f>
        <v>0.0</v>
      </c>
      <c r="AO208" s="31">
        <f>MIN(AO$5,U207+AE208)</f>
        <v>0.0</v>
      </c>
      <c r="AP208" s="31">
        <f>MIN(AP$5,V207+AF208)</f>
        <v>0.0</v>
      </c>
      <c r="AQ208" s="31">
        <f>MIN(AQ$5,W207+AG208)</f>
        <v>0.0</v>
      </c>
      <c r="AR208" s="31">
        <f>MIN(AR$5,X207+AH208)</f>
        <v>0.0</v>
      </c>
      <c r="AS208" s="31">
        <f>MIN(AS$5,Y207+AI208)</f>
        <v>0.0</v>
      </c>
      <c r="AT208" s="31">
        <f>MIN(AT$5,Z207+AJ208)</f>
        <v>0.0</v>
      </c>
      <c r="AU208" s="31">
        <f>MIN(AU$5,AA207+AK208)</f>
        <v>0.0</v>
      </c>
    </row>
    <row r="209">
      <c r="A209" s="25" t="str">
        <f>IF(F208&gt;0.005,204,"")</f>
        <v/>
      </c>
      <c r="B209" s="33" t="str">
        <f>IF(A209="","",EDATE(Долги!$D$5,203))</f>
        <v/>
      </c>
      <c r="C209" s="31">
        <f>SUM(H209:Q209)</f>
        <v>0.0</v>
      </c>
      <c r="D209" s="31">
        <f>SUM(AB209:AK209)</f>
        <v>0.0</v>
      </c>
      <c r="E209" s="31">
        <f>C209-D209</f>
        <v>0.0</v>
      </c>
      <c r="F209" s="31">
        <f>SUM(R209:AA209)</f>
        <v>0.0</v>
      </c>
      <c r="G209" s="34" t="str">
        <f>IF(OR(A209="",$F$5&lt;=0),"",REPT("█",ROUND(20*F209/$F$5,0)))</f>
        <v/>
      </c>
      <c r="H209" s="31">
        <f>AL209+MIN(R208+AB209-AL209,MAX(0,ROUND(Долги!$D$19-SUM($AL209:$AU209),2)))</f>
        <v>0.0</v>
      </c>
      <c r="I209" s="31">
        <f>AM209+MIN(S208+AC209-AM209,MAX(0,ROUND(ROUND(Долги!$D$19-SUM($AL209:$AU209),2)-(SUM($H209:H209)-SUM($AL209:AL209)),2)))</f>
        <v>0.0</v>
      </c>
      <c r="J209" s="31">
        <f>AN209+MIN(T208+AD209-AN209,MAX(0,ROUND(ROUND(Долги!$D$19-SUM($AL209:$AU209),2)-(SUM($H209:I209)-SUM($AL209:AM209)),2)))</f>
        <v>0.0</v>
      </c>
      <c r="K209" s="31">
        <f>AO209+MIN(U208+AE209-AO209,MAX(0,ROUND(ROUND(Долги!$D$19-SUM($AL209:$AU209),2)-(SUM($H209:J209)-SUM($AL209:AN209)),2)))</f>
        <v>0.0</v>
      </c>
      <c r="L209" s="31">
        <f>AP209+MIN(V208+AF209-AP209,MAX(0,ROUND(ROUND(Долги!$D$19-SUM($AL209:$AU209),2)-(SUM($H209:K209)-SUM($AL209:AO209)),2)))</f>
        <v>0.0</v>
      </c>
      <c r="M209" s="31">
        <f>AQ209+MIN(W208+AG209-AQ209,MAX(0,ROUND(ROUND(Долги!$D$19-SUM($AL209:$AU209),2)-(SUM($H209:L209)-SUM($AL209:AP209)),2)))</f>
        <v>0.0</v>
      </c>
      <c r="N209" s="31">
        <f>AR209+MIN(X208+AH209-AR209,MAX(0,ROUND(ROUND(Долги!$D$19-SUM($AL209:$AU209),2)-(SUM($H209:M209)-SUM($AL209:AQ209)),2)))</f>
        <v>0.0</v>
      </c>
      <c r="O209" s="31">
        <f>AS209+MIN(Y208+AI209-AS209,MAX(0,ROUND(ROUND(Долги!$D$19-SUM($AL209:$AU209),2)-(SUM($H209:N209)-SUM($AL209:AR209)),2)))</f>
        <v>0.0</v>
      </c>
      <c r="P209" s="31">
        <f>AT209+MIN(Z208+AJ209-AT209,MAX(0,ROUND(ROUND(Долги!$D$19-SUM($AL209:$AU209),2)-(SUM($H209:O209)-SUM($AL209:AS209)),2)))</f>
        <v>0.0</v>
      </c>
      <c r="Q209" s="31">
        <f>AU209+MIN(AA208+AK209-AU209,MAX(0,ROUND(ROUND(Долги!$D$19-SUM($AL209:$AU209),2)-(SUM($H209:P209)-SUM($AL209:AT209)),2)))</f>
        <v>0.0</v>
      </c>
      <c r="R209" s="31">
        <f>IF(R208+AB209-H209&lt;=0.01,0,ROUND(R208+AB209-H209,2))</f>
        <v>0.0</v>
      </c>
      <c r="S209" s="31">
        <f>IF(S208+AC209-I209&lt;=0.01,0,ROUND(S208+AC209-I209,2))</f>
        <v>0.0</v>
      </c>
      <c r="T209" s="31">
        <f>IF(T208+AD209-J209&lt;=0.01,0,ROUND(T208+AD209-J209,2))</f>
        <v>0.0</v>
      </c>
      <c r="U209" s="31">
        <f>IF(U208+AE209-K209&lt;=0.01,0,ROUND(U208+AE209-K209,2))</f>
        <v>0.0</v>
      </c>
      <c r="V209" s="31">
        <f>IF(V208+AF209-L209&lt;=0.01,0,ROUND(V208+AF209-L209,2))</f>
        <v>0.0</v>
      </c>
      <c r="W209" s="31">
        <f>IF(W208+AG209-M209&lt;=0.01,0,ROUND(W208+AG209-M209,2))</f>
        <v>0.0</v>
      </c>
      <c r="X209" s="31">
        <f>IF(X208+AH209-N209&lt;=0.01,0,ROUND(X208+AH209-N209,2))</f>
        <v>0.0</v>
      </c>
      <c r="Y209" s="31">
        <f>IF(Y208+AI209-O209&lt;=0.01,0,ROUND(Y208+AI209-O209,2))</f>
        <v>0.0</v>
      </c>
      <c r="Z209" s="31">
        <f>IF(Z208+AJ209-P209&lt;=0.01,0,ROUND(Z208+AJ209-P209,2))</f>
        <v>0.0</v>
      </c>
      <c r="AA209" s="31">
        <f>IF(AA208+AK209-Q209&lt;=0.01,0,ROUND(AA208+AK209-Q209,2))</f>
        <v>0.0</v>
      </c>
      <c r="AB209" s="31">
        <f>ROUND(R208*AB$5/1200,2)</f>
        <v>0.0</v>
      </c>
      <c r="AC209" s="31">
        <f>ROUND(S208*AC$5/1200,2)</f>
        <v>0.0</v>
      </c>
      <c r="AD209" s="31">
        <f>ROUND(T208*AD$5/1200,2)</f>
        <v>0.0</v>
      </c>
      <c r="AE209" s="31">
        <f>ROUND(U208*AE$5/1200,2)</f>
        <v>0.0</v>
      </c>
      <c r="AF209" s="31">
        <f>ROUND(V208*AF$5/1200,2)</f>
        <v>0.0</v>
      </c>
      <c r="AG209" s="31">
        <f>ROUND(W208*AG$5/1200,2)</f>
        <v>0.0</v>
      </c>
      <c r="AH209" s="31">
        <f>ROUND(X208*AH$5/1200,2)</f>
        <v>0.0</v>
      </c>
      <c r="AI209" s="31">
        <f>ROUND(Y208*AI$5/1200,2)</f>
        <v>0.0</v>
      </c>
      <c r="AJ209" s="31">
        <f>ROUND(Z208*AJ$5/1200,2)</f>
        <v>0.0</v>
      </c>
      <c r="AK209" s="31">
        <f>ROUND(AA208*AK$5/1200,2)</f>
        <v>0.0</v>
      </c>
      <c r="AL209" s="31">
        <f>MIN(AL$5,R208+AB209)</f>
        <v>0.0</v>
      </c>
      <c r="AM209" s="31">
        <f>MIN(AM$5,S208+AC209)</f>
        <v>0.0</v>
      </c>
      <c r="AN209" s="31">
        <f>MIN(AN$5,T208+AD209)</f>
        <v>0.0</v>
      </c>
      <c r="AO209" s="31">
        <f>MIN(AO$5,U208+AE209)</f>
        <v>0.0</v>
      </c>
      <c r="AP209" s="31">
        <f>MIN(AP$5,V208+AF209)</f>
        <v>0.0</v>
      </c>
      <c r="AQ209" s="31">
        <f>MIN(AQ$5,W208+AG209)</f>
        <v>0.0</v>
      </c>
      <c r="AR209" s="31">
        <f>MIN(AR$5,X208+AH209)</f>
        <v>0.0</v>
      </c>
      <c r="AS209" s="31">
        <f>MIN(AS$5,Y208+AI209)</f>
        <v>0.0</v>
      </c>
      <c r="AT209" s="31">
        <f>MIN(AT$5,Z208+AJ209)</f>
        <v>0.0</v>
      </c>
      <c r="AU209" s="31">
        <f>MIN(AU$5,AA208+AK209)</f>
        <v>0.0</v>
      </c>
    </row>
    <row r="210">
      <c r="A210" s="25" t="str">
        <f>IF(F209&gt;0.005,205,"")</f>
        <v/>
      </c>
      <c r="B210" s="33" t="str">
        <f>IF(A210="","",EDATE(Долги!$D$5,204))</f>
        <v/>
      </c>
      <c r="C210" s="31">
        <f>SUM(H210:Q210)</f>
        <v>0.0</v>
      </c>
      <c r="D210" s="31">
        <f>SUM(AB210:AK210)</f>
        <v>0.0</v>
      </c>
      <c r="E210" s="31">
        <f>C210-D210</f>
        <v>0.0</v>
      </c>
      <c r="F210" s="31">
        <f>SUM(R210:AA210)</f>
        <v>0.0</v>
      </c>
      <c r="G210" s="34" t="str">
        <f>IF(OR(A210="",$F$5&lt;=0),"",REPT("█",ROUND(20*F210/$F$5,0)))</f>
        <v/>
      </c>
      <c r="H210" s="31">
        <f>AL210+MIN(R209+AB210-AL210,MAX(0,ROUND(Долги!$D$19-SUM($AL210:$AU210),2)))</f>
        <v>0.0</v>
      </c>
      <c r="I210" s="31">
        <f>AM210+MIN(S209+AC210-AM210,MAX(0,ROUND(ROUND(Долги!$D$19-SUM($AL210:$AU210),2)-(SUM($H210:H210)-SUM($AL210:AL210)),2)))</f>
        <v>0.0</v>
      </c>
      <c r="J210" s="31">
        <f>AN210+MIN(T209+AD210-AN210,MAX(0,ROUND(ROUND(Долги!$D$19-SUM($AL210:$AU210),2)-(SUM($H210:I210)-SUM($AL210:AM210)),2)))</f>
        <v>0.0</v>
      </c>
      <c r="K210" s="31">
        <f>AO210+MIN(U209+AE210-AO210,MAX(0,ROUND(ROUND(Долги!$D$19-SUM($AL210:$AU210),2)-(SUM($H210:J210)-SUM($AL210:AN210)),2)))</f>
        <v>0.0</v>
      </c>
      <c r="L210" s="31">
        <f>AP210+MIN(V209+AF210-AP210,MAX(0,ROUND(ROUND(Долги!$D$19-SUM($AL210:$AU210),2)-(SUM($H210:K210)-SUM($AL210:AO210)),2)))</f>
        <v>0.0</v>
      </c>
      <c r="M210" s="31">
        <f>AQ210+MIN(W209+AG210-AQ210,MAX(0,ROUND(ROUND(Долги!$D$19-SUM($AL210:$AU210),2)-(SUM($H210:L210)-SUM($AL210:AP210)),2)))</f>
        <v>0.0</v>
      </c>
      <c r="N210" s="31">
        <f>AR210+MIN(X209+AH210-AR210,MAX(0,ROUND(ROUND(Долги!$D$19-SUM($AL210:$AU210),2)-(SUM($H210:M210)-SUM($AL210:AQ210)),2)))</f>
        <v>0.0</v>
      </c>
      <c r="O210" s="31">
        <f>AS210+MIN(Y209+AI210-AS210,MAX(0,ROUND(ROUND(Долги!$D$19-SUM($AL210:$AU210),2)-(SUM($H210:N210)-SUM($AL210:AR210)),2)))</f>
        <v>0.0</v>
      </c>
      <c r="P210" s="31">
        <f>AT210+MIN(Z209+AJ210-AT210,MAX(0,ROUND(ROUND(Долги!$D$19-SUM($AL210:$AU210),2)-(SUM($H210:O210)-SUM($AL210:AS210)),2)))</f>
        <v>0.0</v>
      </c>
      <c r="Q210" s="31">
        <f>AU210+MIN(AA209+AK210-AU210,MAX(0,ROUND(ROUND(Долги!$D$19-SUM($AL210:$AU210),2)-(SUM($H210:P210)-SUM($AL210:AT210)),2)))</f>
        <v>0.0</v>
      </c>
      <c r="R210" s="31">
        <f>IF(R209+AB210-H210&lt;=0.01,0,ROUND(R209+AB210-H210,2))</f>
        <v>0.0</v>
      </c>
      <c r="S210" s="31">
        <f>IF(S209+AC210-I210&lt;=0.01,0,ROUND(S209+AC210-I210,2))</f>
        <v>0.0</v>
      </c>
      <c r="T210" s="31">
        <f>IF(T209+AD210-J210&lt;=0.01,0,ROUND(T209+AD210-J210,2))</f>
        <v>0.0</v>
      </c>
      <c r="U210" s="31">
        <f>IF(U209+AE210-K210&lt;=0.01,0,ROUND(U209+AE210-K210,2))</f>
        <v>0.0</v>
      </c>
      <c r="V210" s="31">
        <f>IF(V209+AF210-L210&lt;=0.01,0,ROUND(V209+AF210-L210,2))</f>
        <v>0.0</v>
      </c>
      <c r="W210" s="31">
        <f>IF(W209+AG210-M210&lt;=0.01,0,ROUND(W209+AG210-M210,2))</f>
        <v>0.0</v>
      </c>
      <c r="X210" s="31">
        <f>IF(X209+AH210-N210&lt;=0.01,0,ROUND(X209+AH210-N210,2))</f>
        <v>0.0</v>
      </c>
      <c r="Y210" s="31">
        <f>IF(Y209+AI210-O210&lt;=0.01,0,ROUND(Y209+AI210-O210,2))</f>
        <v>0.0</v>
      </c>
      <c r="Z210" s="31">
        <f>IF(Z209+AJ210-P210&lt;=0.01,0,ROUND(Z209+AJ210-P210,2))</f>
        <v>0.0</v>
      </c>
      <c r="AA210" s="31">
        <f>IF(AA209+AK210-Q210&lt;=0.01,0,ROUND(AA209+AK210-Q210,2))</f>
        <v>0.0</v>
      </c>
      <c r="AB210" s="31">
        <f>ROUND(R209*AB$5/1200,2)</f>
        <v>0.0</v>
      </c>
      <c r="AC210" s="31">
        <f>ROUND(S209*AC$5/1200,2)</f>
        <v>0.0</v>
      </c>
      <c r="AD210" s="31">
        <f>ROUND(T209*AD$5/1200,2)</f>
        <v>0.0</v>
      </c>
      <c r="AE210" s="31">
        <f>ROUND(U209*AE$5/1200,2)</f>
        <v>0.0</v>
      </c>
      <c r="AF210" s="31">
        <f>ROUND(V209*AF$5/1200,2)</f>
        <v>0.0</v>
      </c>
      <c r="AG210" s="31">
        <f>ROUND(W209*AG$5/1200,2)</f>
        <v>0.0</v>
      </c>
      <c r="AH210" s="31">
        <f>ROUND(X209*AH$5/1200,2)</f>
        <v>0.0</v>
      </c>
      <c r="AI210" s="31">
        <f>ROUND(Y209*AI$5/1200,2)</f>
        <v>0.0</v>
      </c>
      <c r="AJ210" s="31">
        <f>ROUND(Z209*AJ$5/1200,2)</f>
        <v>0.0</v>
      </c>
      <c r="AK210" s="31">
        <f>ROUND(AA209*AK$5/1200,2)</f>
        <v>0.0</v>
      </c>
      <c r="AL210" s="31">
        <f>MIN(AL$5,R209+AB210)</f>
        <v>0.0</v>
      </c>
      <c r="AM210" s="31">
        <f>MIN(AM$5,S209+AC210)</f>
        <v>0.0</v>
      </c>
      <c r="AN210" s="31">
        <f>MIN(AN$5,T209+AD210)</f>
        <v>0.0</v>
      </c>
      <c r="AO210" s="31">
        <f>MIN(AO$5,U209+AE210)</f>
        <v>0.0</v>
      </c>
      <c r="AP210" s="31">
        <f>MIN(AP$5,V209+AF210)</f>
        <v>0.0</v>
      </c>
      <c r="AQ210" s="31">
        <f>MIN(AQ$5,W209+AG210)</f>
        <v>0.0</v>
      </c>
      <c r="AR210" s="31">
        <f>MIN(AR$5,X209+AH210)</f>
        <v>0.0</v>
      </c>
      <c r="AS210" s="31">
        <f>MIN(AS$5,Y209+AI210)</f>
        <v>0.0</v>
      </c>
      <c r="AT210" s="31">
        <f>MIN(AT$5,Z209+AJ210)</f>
        <v>0.0</v>
      </c>
      <c r="AU210" s="31">
        <f>MIN(AU$5,AA209+AK210)</f>
        <v>0.0</v>
      </c>
    </row>
    <row r="211">
      <c r="A211" s="25" t="str">
        <f>IF(F210&gt;0.005,206,"")</f>
        <v/>
      </c>
      <c r="B211" s="33" t="str">
        <f>IF(A211="","",EDATE(Долги!$D$5,205))</f>
        <v/>
      </c>
      <c r="C211" s="31">
        <f>SUM(H211:Q211)</f>
        <v>0.0</v>
      </c>
      <c r="D211" s="31">
        <f>SUM(AB211:AK211)</f>
        <v>0.0</v>
      </c>
      <c r="E211" s="31">
        <f>C211-D211</f>
        <v>0.0</v>
      </c>
      <c r="F211" s="31">
        <f>SUM(R211:AA211)</f>
        <v>0.0</v>
      </c>
      <c r="G211" s="34" t="str">
        <f>IF(OR(A211="",$F$5&lt;=0),"",REPT("█",ROUND(20*F211/$F$5,0)))</f>
        <v/>
      </c>
      <c r="H211" s="31">
        <f>AL211+MIN(R210+AB211-AL211,MAX(0,ROUND(Долги!$D$19-SUM($AL211:$AU211),2)))</f>
        <v>0.0</v>
      </c>
      <c r="I211" s="31">
        <f>AM211+MIN(S210+AC211-AM211,MAX(0,ROUND(ROUND(Долги!$D$19-SUM($AL211:$AU211),2)-(SUM($H211:H211)-SUM($AL211:AL211)),2)))</f>
        <v>0.0</v>
      </c>
      <c r="J211" s="31">
        <f>AN211+MIN(T210+AD211-AN211,MAX(0,ROUND(ROUND(Долги!$D$19-SUM($AL211:$AU211),2)-(SUM($H211:I211)-SUM($AL211:AM211)),2)))</f>
        <v>0.0</v>
      </c>
      <c r="K211" s="31">
        <f>AO211+MIN(U210+AE211-AO211,MAX(0,ROUND(ROUND(Долги!$D$19-SUM($AL211:$AU211),2)-(SUM($H211:J211)-SUM($AL211:AN211)),2)))</f>
        <v>0.0</v>
      </c>
      <c r="L211" s="31">
        <f>AP211+MIN(V210+AF211-AP211,MAX(0,ROUND(ROUND(Долги!$D$19-SUM($AL211:$AU211),2)-(SUM($H211:K211)-SUM($AL211:AO211)),2)))</f>
        <v>0.0</v>
      </c>
      <c r="M211" s="31">
        <f>AQ211+MIN(W210+AG211-AQ211,MAX(0,ROUND(ROUND(Долги!$D$19-SUM($AL211:$AU211),2)-(SUM($H211:L211)-SUM($AL211:AP211)),2)))</f>
        <v>0.0</v>
      </c>
      <c r="N211" s="31">
        <f>AR211+MIN(X210+AH211-AR211,MAX(0,ROUND(ROUND(Долги!$D$19-SUM($AL211:$AU211),2)-(SUM($H211:M211)-SUM($AL211:AQ211)),2)))</f>
        <v>0.0</v>
      </c>
      <c r="O211" s="31">
        <f>AS211+MIN(Y210+AI211-AS211,MAX(0,ROUND(ROUND(Долги!$D$19-SUM($AL211:$AU211),2)-(SUM($H211:N211)-SUM($AL211:AR211)),2)))</f>
        <v>0.0</v>
      </c>
      <c r="P211" s="31">
        <f>AT211+MIN(Z210+AJ211-AT211,MAX(0,ROUND(ROUND(Долги!$D$19-SUM($AL211:$AU211),2)-(SUM($H211:O211)-SUM($AL211:AS211)),2)))</f>
        <v>0.0</v>
      </c>
      <c r="Q211" s="31">
        <f>AU211+MIN(AA210+AK211-AU211,MAX(0,ROUND(ROUND(Долги!$D$19-SUM($AL211:$AU211),2)-(SUM($H211:P211)-SUM($AL211:AT211)),2)))</f>
        <v>0.0</v>
      </c>
      <c r="R211" s="31">
        <f>IF(R210+AB211-H211&lt;=0.01,0,ROUND(R210+AB211-H211,2))</f>
        <v>0.0</v>
      </c>
      <c r="S211" s="31">
        <f>IF(S210+AC211-I211&lt;=0.01,0,ROUND(S210+AC211-I211,2))</f>
        <v>0.0</v>
      </c>
      <c r="T211" s="31">
        <f>IF(T210+AD211-J211&lt;=0.01,0,ROUND(T210+AD211-J211,2))</f>
        <v>0.0</v>
      </c>
      <c r="U211" s="31">
        <f>IF(U210+AE211-K211&lt;=0.01,0,ROUND(U210+AE211-K211,2))</f>
        <v>0.0</v>
      </c>
      <c r="V211" s="31">
        <f>IF(V210+AF211-L211&lt;=0.01,0,ROUND(V210+AF211-L211,2))</f>
        <v>0.0</v>
      </c>
      <c r="W211" s="31">
        <f>IF(W210+AG211-M211&lt;=0.01,0,ROUND(W210+AG211-M211,2))</f>
        <v>0.0</v>
      </c>
      <c r="X211" s="31">
        <f>IF(X210+AH211-N211&lt;=0.01,0,ROUND(X210+AH211-N211,2))</f>
        <v>0.0</v>
      </c>
      <c r="Y211" s="31">
        <f>IF(Y210+AI211-O211&lt;=0.01,0,ROUND(Y210+AI211-O211,2))</f>
        <v>0.0</v>
      </c>
      <c r="Z211" s="31">
        <f>IF(Z210+AJ211-P211&lt;=0.01,0,ROUND(Z210+AJ211-P211,2))</f>
        <v>0.0</v>
      </c>
      <c r="AA211" s="31">
        <f>IF(AA210+AK211-Q211&lt;=0.01,0,ROUND(AA210+AK211-Q211,2))</f>
        <v>0.0</v>
      </c>
      <c r="AB211" s="31">
        <f>ROUND(R210*AB$5/1200,2)</f>
        <v>0.0</v>
      </c>
      <c r="AC211" s="31">
        <f>ROUND(S210*AC$5/1200,2)</f>
        <v>0.0</v>
      </c>
      <c r="AD211" s="31">
        <f>ROUND(T210*AD$5/1200,2)</f>
        <v>0.0</v>
      </c>
      <c r="AE211" s="31">
        <f>ROUND(U210*AE$5/1200,2)</f>
        <v>0.0</v>
      </c>
      <c r="AF211" s="31">
        <f>ROUND(V210*AF$5/1200,2)</f>
        <v>0.0</v>
      </c>
      <c r="AG211" s="31">
        <f>ROUND(W210*AG$5/1200,2)</f>
        <v>0.0</v>
      </c>
      <c r="AH211" s="31">
        <f>ROUND(X210*AH$5/1200,2)</f>
        <v>0.0</v>
      </c>
      <c r="AI211" s="31">
        <f>ROUND(Y210*AI$5/1200,2)</f>
        <v>0.0</v>
      </c>
      <c r="AJ211" s="31">
        <f>ROUND(Z210*AJ$5/1200,2)</f>
        <v>0.0</v>
      </c>
      <c r="AK211" s="31">
        <f>ROUND(AA210*AK$5/1200,2)</f>
        <v>0.0</v>
      </c>
      <c r="AL211" s="31">
        <f>MIN(AL$5,R210+AB211)</f>
        <v>0.0</v>
      </c>
      <c r="AM211" s="31">
        <f>MIN(AM$5,S210+AC211)</f>
        <v>0.0</v>
      </c>
      <c r="AN211" s="31">
        <f>MIN(AN$5,T210+AD211)</f>
        <v>0.0</v>
      </c>
      <c r="AO211" s="31">
        <f>MIN(AO$5,U210+AE211)</f>
        <v>0.0</v>
      </c>
      <c r="AP211" s="31">
        <f>MIN(AP$5,V210+AF211)</f>
        <v>0.0</v>
      </c>
      <c r="AQ211" s="31">
        <f>MIN(AQ$5,W210+AG211)</f>
        <v>0.0</v>
      </c>
      <c r="AR211" s="31">
        <f>MIN(AR$5,X210+AH211)</f>
        <v>0.0</v>
      </c>
      <c r="AS211" s="31">
        <f>MIN(AS$5,Y210+AI211)</f>
        <v>0.0</v>
      </c>
      <c r="AT211" s="31">
        <f>MIN(AT$5,Z210+AJ211)</f>
        <v>0.0</v>
      </c>
      <c r="AU211" s="31">
        <f>MIN(AU$5,AA210+AK211)</f>
        <v>0.0</v>
      </c>
    </row>
    <row r="212">
      <c r="A212" s="25" t="str">
        <f>IF(F211&gt;0.005,207,"")</f>
        <v/>
      </c>
      <c r="B212" s="33" t="str">
        <f>IF(A212="","",EDATE(Долги!$D$5,206))</f>
        <v/>
      </c>
      <c r="C212" s="31">
        <f>SUM(H212:Q212)</f>
        <v>0.0</v>
      </c>
      <c r="D212" s="31">
        <f>SUM(AB212:AK212)</f>
        <v>0.0</v>
      </c>
      <c r="E212" s="31">
        <f>C212-D212</f>
        <v>0.0</v>
      </c>
      <c r="F212" s="31">
        <f>SUM(R212:AA212)</f>
        <v>0.0</v>
      </c>
      <c r="G212" s="34" t="str">
        <f>IF(OR(A212="",$F$5&lt;=0),"",REPT("█",ROUND(20*F212/$F$5,0)))</f>
        <v/>
      </c>
      <c r="H212" s="31">
        <f>AL212+MIN(R211+AB212-AL212,MAX(0,ROUND(Долги!$D$19-SUM($AL212:$AU212),2)))</f>
        <v>0.0</v>
      </c>
      <c r="I212" s="31">
        <f>AM212+MIN(S211+AC212-AM212,MAX(0,ROUND(ROUND(Долги!$D$19-SUM($AL212:$AU212),2)-(SUM($H212:H212)-SUM($AL212:AL212)),2)))</f>
        <v>0.0</v>
      </c>
      <c r="J212" s="31">
        <f>AN212+MIN(T211+AD212-AN212,MAX(0,ROUND(ROUND(Долги!$D$19-SUM($AL212:$AU212),2)-(SUM($H212:I212)-SUM($AL212:AM212)),2)))</f>
        <v>0.0</v>
      </c>
      <c r="K212" s="31">
        <f>AO212+MIN(U211+AE212-AO212,MAX(0,ROUND(ROUND(Долги!$D$19-SUM($AL212:$AU212),2)-(SUM($H212:J212)-SUM($AL212:AN212)),2)))</f>
        <v>0.0</v>
      </c>
      <c r="L212" s="31">
        <f>AP212+MIN(V211+AF212-AP212,MAX(0,ROUND(ROUND(Долги!$D$19-SUM($AL212:$AU212),2)-(SUM($H212:K212)-SUM($AL212:AO212)),2)))</f>
        <v>0.0</v>
      </c>
      <c r="M212" s="31">
        <f>AQ212+MIN(W211+AG212-AQ212,MAX(0,ROUND(ROUND(Долги!$D$19-SUM($AL212:$AU212),2)-(SUM($H212:L212)-SUM($AL212:AP212)),2)))</f>
        <v>0.0</v>
      </c>
      <c r="N212" s="31">
        <f>AR212+MIN(X211+AH212-AR212,MAX(0,ROUND(ROUND(Долги!$D$19-SUM($AL212:$AU212),2)-(SUM($H212:M212)-SUM($AL212:AQ212)),2)))</f>
        <v>0.0</v>
      </c>
      <c r="O212" s="31">
        <f>AS212+MIN(Y211+AI212-AS212,MAX(0,ROUND(ROUND(Долги!$D$19-SUM($AL212:$AU212),2)-(SUM($H212:N212)-SUM($AL212:AR212)),2)))</f>
        <v>0.0</v>
      </c>
      <c r="P212" s="31">
        <f>AT212+MIN(Z211+AJ212-AT212,MAX(0,ROUND(ROUND(Долги!$D$19-SUM($AL212:$AU212),2)-(SUM($H212:O212)-SUM($AL212:AS212)),2)))</f>
        <v>0.0</v>
      </c>
      <c r="Q212" s="31">
        <f>AU212+MIN(AA211+AK212-AU212,MAX(0,ROUND(ROUND(Долги!$D$19-SUM($AL212:$AU212),2)-(SUM($H212:P212)-SUM($AL212:AT212)),2)))</f>
        <v>0.0</v>
      </c>
      <c r="R212" s="31">
        <f>IF(R211+AB212-H212&lt;=0.01,0,ROUND(R211+AB212-H212,2))</f>
        <v>0.0</v>
      </c>
      <c r="S212" s="31">
        <f>IF(S211+AC212-I212&lt;=0.01,0,ROUND(S211+AC212-I212,2))</f>
        <v>0.0</v>
      </c>
      <c r="T212" s="31">
        <f>IF(T211+AD212-J212&lt;=0.01,0,ROUND(T211+AD212-J212,2))</f>
        <v>0.0</v>
      </c>
      <c r="U212" s="31">
        <f>IF(U211+AE212-K212&lt;=0.01,0,ROUND(U211+AE212-K212,2))</f>
        <v>0.0</v>
      </c>
      <c r="V212" s="31">
        <f>IF(V211+AF212-L212&lt;=0.01,0,ROUND(V211+AF212-L212,2))</f>
        <v>0.0</v>
      </c>
      <c r="W212" s="31">
        <f>IF(W211+AG212-M212&lt;=0.01,0,ROUND(W211+AG212-M212,2))</f>
        <v>0.0</v>
      </c>
      <c r="X212" s="31">
        <f>IF(X211+AH212-N212&lt;=0.01,0,ROUND(X211+AH212-N212,2))</f>
        <v>0.0</v>
      </c>
      <c r="Y212" s="31">
        <f>IF(Y211+AI212-O212&lt;=0.01,0,ROUND(Y211+AI212-O212,2))</f>
        <v>0.0</v>
      </c>
      <c r="Z212" s="31">
        <f>IF(Z211+AJ212-P212&lt;=0.01,0,ROUND(Z211+AJ212-P212,2))</f>
        <v>0.0</v>
      </c>
      <c r="AA212" s="31">
        <f>IF(AA211+AK212-Q212&lt;=0.01,0,ROUND(AA211+AK212-Q212,2))</f>
        <v>0.0</v>
      </c>
      <c r="AB212" s="31">
        <f>ROUND(R211*AB$5/1200,2)</f>
        <v>0.0</v>
      </c>
      <c r="AC212" s="31">
        <f>ROUND(S211*AC$5/1200,2)</f>
        <v>0.0</v>
      </c>
      <c r="AD212" s="31">
        <f>ROUND(T211*AD$5/1200,2)</f>
        <v>0.0</v>
      </c>
      <c r="AE212" s="31">
        <f>ROUND(U211*AE$5/1200,2)</f>
        <v>0.0</v>
      </c>
      <c r="AF212" s="31">
        <f>ROUND(V211*AF$5/1200,2)</f>
        <v>0.0</v>
      </c>
      <c r="AG212" s="31">
        <f>ROUND(W211*AG$5/1200,2)</f>
        <v>0.0</v>
      </c>
      <c r="AH212" s="31">
        <f>ROUND(X211*AH$5/1200,2)</f>
        <v>0.0</v>
      </c>
      <c r="AI212" s="31">
        <f>ROUND(Y211*AI$5/1200,2)</f>
        <v>0.0</v>
      </c>
      <c r="AJ212" s="31">
        <f>ROUND(Z211*AJ$5/1200,2)</f>
        <v>0.0</v>
      </c>
      <c r="AK212" s="31">
        <f>ROUND(AA211*AK$5/1200,2)</f>
        <v>0.0</v>
      </c>
      <c r="AL212" s="31">
        <f>MIN(AL$5,R211+AB212)</f>
        <v>0.0</v>
      </c>
      <c r="AM212" s="31">
        <f>MIN(AM$5,S211+AC212)</f>
        <v>0.0</v>
      </c>
      <c r="AN212" s="31">
        <f>MIN(AN$5,T211+AD212)</f>
        <v>0.0</v>
      </c>
      <c r="AO212" s="31">
        <f>MIN(AO$5,U211+AE212)</f>
        <v>0.0</v>
      </c>
      <c r="AP212" s="31">
        <f>MIN(AP$5,V211+AF212)</f>
        <v>0.0</v>
      </c>
      <c r="AQ212" s="31">
        <f>MIN(AQ$5,W211+AG212)</f>
        <v>0.0</v>
      </c>
      <c r="AR212" s="31">
        <f>MIN(AR$5,X211+AH212)</f>
        <v>0.0</v>
      </c>
      <c r="AS212" s="31">
        <f>MIN(AS$5,Y211+AI212)</f>
        <v>0.0</v>
      </c>
      <c r="AT212" s="31">
        <f>MIN(AT$5,Z211+AJ212)</f>
        <v>0.0</v>
      </c>
      <c r="AU212" s="31">
        <f>MIN(AU$5,AA211+AK212)</f>
        <v>0.0</v>
      </c>
    </row>
    <row r="213">
      <c r="A213" s="25" t="str">
        <f>IF(F212&gt;0.005,208,"")</f>
        <v/>
      </c>
      <c r="B213" s="33" t="str">
        <f>IF(A213="","",EDATE(Долги!$D$5,207))</f>
        <v/>
      </c>
      <c r="C213" s="31">
        <f>SUM(H213:Q213)</f>
        <v>0.0</v>
      </c>
      <c r="D213" s="31">
        <f>SUM(AB213:AK213)</f>
        <v>0.0</v>
      </c>
      <c r="E213" s="31">
        <f>C213-D213</f>
        <v>0.0</v>
      </c>
      <c r="F213" s="31">
        <f>SUM(R213:AA213)</f>
        <v>0.0</v>
      </c>
      <c r="G213" s="34" t="str">
        <f>IF(OR(A213="",$F$5&lt;=0),"",REPT("█",ROUND(20*F213/$F$5,0)))</f>
        <v/>
      </c>
      <c r="H213" s="31">
        <f>AL213+MIN(R212+AB213-AL213,MAX(0,ROUND(Долги!$D$19-SUM($AL213:$AU213),2)))</f>
        <v>0.0</v>
      </c>
      <c r="I213" s="31">
        <f>AM213+MIN(S212+AC213-AM213,MAX(0,ROUND(ROUND(Долги!$D$19-SUM($AL213:$AU213),2)-(SUM($H213:H213)-SUM($AL213:AL213)),2)))</f>
        <v>0.0</v>
      </c>
      <c r="J213" s="31">
        <f>AN213+MIN(T212+AD213-AN213,MAX(0,ROUND(ROUND(Долги!$D$19-SUM($AL213:$AU213),2)-(SUM($H213:I213)-SUM($AL213:AM213)),2)))</f>
        <v>0.0</v>
      </c>
      <c r="K213" s="31">
        <f>AO213+MIN(U212+AE213-AO213,MAX(0,ROUND(ROUND(Долги!$D$19-SUM($AL213:$AU213),2)-(SUM($H213:J213)-SUM($AL213:AN213)),2)))</f>
        <v>0.0</v>
      </c>
      <c r="L213" s="31">
        <f>AP213+MIN(V212+AF213-AP213,MAX(0,ROUND(ROUND(Долги!$D$19-SUM($AL213:$AU213),2)-(SUM($H213:K213)-SUM($AL213:AO213)),2)))</f>
        <v>0.0</v>
      </c>
      <c r="M213" s="31">
        <f>AQ213+MIN(W212+AG213-AQ213,MAX(0,ROUND(ROUND(Долги!$D$19-SUM($AL213:$AU213),2)-(SUM($H213:L213)-SUM($AL213:AP213)),2)))</f>
        <v>0.0</v>
      </c>
      <c r="N213" s="31">
        <f>AR213+MIN(X212+AH213-AR213,MAX(0,ROUND(ROUND(Долги!$D$19-SUM($AL213:$AU213),2)-(SUM($H213:M213)-SUM($AL213:AQ213)),2)))</f>
        <v>0.0</v>
      </c>
      <c r="O213" s="31">
        <f>AS213+MIN(Y212+AI213-AS213,MAX(0,ROUND(ROUND(Долги!$D$19-SUM($AL213:$AU213),2)-(SUM($H213:N213)-SUM($AL213:AR213)),2)))</f>
        <v>0.0</v>
      </c>
      <c r="P213" s="31">
        <f>AT213+MIN(Z212+AJ213-AT213,MAX(0,ROUND(ROUND(Долги!$D$19-SUM($AL213:$AU213),2)-(SUM($H213:O213)-SUM($AL213:AS213)),2)))</f>
        <v>0.0</v>
      </c>
      <c r="Q213" s="31">
        <f>AU213+MIN(AA212+AK213-AU213,MAX(0,ROUND(ROUND(Долги!$D$19-SUM($AL213:$AU213),2)-(SUM($H213:P213)-SUM($AL213:AT213)),2)))</f>
        <v>0.0</v>
      </c>
      <c r="R213" s="31">
        <f>IF(R212+AB213-H213&lt;=0.01,0,ROUND(R212+AB213-H213,2))</f>
        <v>0.0</v>
      </c>
      <c r="S213" s="31">
        <f>IF(S212+AC213-I213&lt;=0.01,0,ROUND(S212+AC213-I213,2))</f>
        <v>0.0</v>
      </c>
      <c r="T213" s="31">
        <f>IF(T212+AD213-J213&lt;=0.01,0,ROUND(T212+AD213-J213,2))</f>
        <v>0.0</v>
      </c>
      <c r="U213" s="31">
        <f>IF(U212+AE213-K213&lt;=0.01,0,ROUND(U212+AE213-K213,2))</f>
        <v>0.0</v>
      </c>
      <c r="V213" s="31">
        <f>IF(V212+AF213-L213&lt;=0.01,0,ROUND(V212+AF213-L213,2))</f>
        <v>0.0</v>
      </c>
      <c r="W213" s="31">
        <f>IF(W212+AG213-M213&lt;=0.01,0,ROUND(W212+AG213-M213,2))</f>
        <v>0.0</v>
      </c>
      <c r="X213" s="31">
        <f>IF(X212+AH213-N213&lt;=0.01,0,ROUND(X212+AH213-N213,2))</f>
        <v>0.0</v>
      </c>
      <c r="Y213" s="31">
        <f>IF(Y212+AI213-O213&lt;=0.01,0,ROUND(Y212+AI213-O213,2))</f>
        <v>0.0</v>
      </c>
      <c r="Z213" s="31">
        <f>IF(Z212+AJ213-P213&lt;=0.01,0,ROUND(Z212+AJ213-P213,2))</f>
        <v>0.0</v>
      </c>
      <c r="AA213" s="31">
        <f>IF(AA212+AK213-Q213&lt;=0.01,0,ROUND(AA212+AK213-Q213,2))</f>
        <v>0.0</v>
      </c>
      <c r="AB213" s="31">
        <f>ROUND(R212*AB$5/1200,2)</f>
        <v>0.0</v>
      </c>
      <c r="AC213" s="31">
        <f>ROUND(S212*AC$5/1200,2)</f>
        <v>0.0</v>
      </c>
      <c r="AD213" s="31">
        <f>ROUND(T212*AD$5/1200,2)</f>
        <v>0.0</v>
      </c>
      <c r="AE213" s="31">
        <f>ROUND(U212*AE$5/1200,2)</f>
        <v>0.0</v>
      </c>
      <c r="AF213" s="31">
        <f>ROUND(V212*AF$5/1200,2)</f>
        <v>0.0</v>
      </c>
      <c r="AG213" s="31">
        <f>ROUND(W212*AG$5/1200,2)</f>
        <v>0.0</v>
      </c>
      <c r="AH213" s="31">
        <f>ROUND(X212*AH$5/1200,2)</f>
        <v>0.0</v>
      </c>
      <c r="AI213" s="31">
        <f>ROUND(Y212*AI$5/1200,2)</f>
        <v>0.0</v>
      </c>
      <c r="AJ213" s="31">
        <f>ROUND(Z212*AJ$5/1200,2)</f>
        <v>0.0</v>
      </c>
      <c r="AK213" s="31">
        <f>ROUND(AA212*AK$5/1200,2)</f>
        <v>0.0</v>
      </c>
      <c r="AL213" s="31">
        <f>MIN(AL$5,R212+AB213)</f>
        <v>0.0</v>
      </c>
      <c r="AM213" s="31">
        <f>MIN(AM$5,S212+AC213)</f>
        <v>0.0</v>
      </c>
      <c r="AN213" s="31">
        <f>MIN(AN$5,T212+AD213)</f>
        <v>0.0</v>
      </c>
      <c r="AO213" s="31">
        <f>MIN(AO$5,U212+AE213)</f>
        <v>0.0</v>
      </c>
      <c r="AP213" s="31">
        <f>MIN(AP$5,V212+AF213)</f>
        <v>0.0</v>
      </c>
      <c r="AQ213" s="31">
        <f>MIN(AQ$5,W212+AG213)</f>
        <v>0.0</v>
      </c>
      <c r="AR213" s="31">
        <f>MIN(AR$5,X212+AH213)</f>
        <v>0.0</v>
      </c>
      <c r="AS213" s="31">
        <f>MIN(AS$5,Y212+AI213)</f>
        <v>0.0</v>
      </c>
      <c r="AT213" s="31">
        <f>MIN(AT$5,Z212+AJ213)</f>
        <v>0.0</v>
      </c>
      <c r="AU213" s="31">
        <f>MIN(AU$5,AA212+AK213)</f>
        <v>0.0</v>
      </c>
    </row>
    <row r="214">
      <c r="A214" s="25" t="str">
        <f>IF(F213&gt;0.005,209,"")</f>
        <v/>
      </c>
      <c r="B214" s="33" t="str">
        <f>IF(A214="","",EDATE(Долги!$D$5,208))</f>
        <v/>
      </c>
      <c r="C214" s="31">
        <f>SUM(H214:Q214)</f>
        <v>0.0</v>
      </c>
      <c r="D214" s="31">
        <f>SUM(AB214:AK214)</f>
        <v>0.0</v>
      </c>
      <c r="E214" s="31">
        <f>C214-D214</f>
        <v>0.0</v>
      </c>
      <c r="F214" s="31">
        <f>SUM(R214:AA214)</f>
        <v>0.0</v>
      </c>
      <c r="G214" s="34" t="str">
        <f>IF(OR(A214="",$F$5&lt;=0),"",REPT("█",ROUND(20*F214/$F$5,0)))</f>
        <v/>
      </c>
      <c r="H214" s="31">
        <f>AL214+MIN(R213+AB214-AL214,MAX(0,ROUND(Долги!$D$19-SUM($AL214:$AU214),2)))</f>
        <v>0.0</v>
      </c>
      <c r="I214" s="31">
        <f>AM214+MIN(S213+AC214-AM214,MAX(0,ROUND(ROUND(Долги!$D$19-SUM($AL214:$AU214),2)-(SUM($H214:H214)-SUM($AL214:AL214)),2)))</f>
        <v>0.0</v>
      </c>
      <c r="J214" s="31">
        <f>AN214+MIN(T213+AD214-AN214,MAX(0,ROUND(ROUND(Долги!$D$19-SUM($AL214:$AU214),2)-(SUM($H214:I214)-SUM($AL214:AM214)),2)))</f>
        <v>0.0</v>
      </c>
      <c r="K214" s="31">
        <f>AO214+MIN(U213+AE214-AO214,MAX(0,ROUND(ROUND(Долги!$D$19-SUM($AL214:$AU214),2)-(SUM($H214:J214)-SUM($AL214:AN214)),2)))</f>
        <v>0.0</v>
      </c>
      <c r="L214" s="31">
        <f>AP214+MIN(V213+AF214-AP214,MAX(0,ROUND(ROUND(Долги!$D$19-SUM($AL214:$AU214),2)-(SUM($H214:K214)-SUM($AL214:AO214)),2)))</f>
        <v>0.0</v>
      </c>
      <c r="M214" s="31">
        <f>AQ214+MIN(W213+AG214-AQ214,MAX(0,ROUND(ROUND(Долги!$D$19-SUM($AL214:$AU214),2)-(SUM($H214:L214)-SUM($AL214:AP214)),2)))</f>
        <v>0.0</v>
      </c>
      <c r="N214" s="31">
        <f>AR214+MIN(X213+AH214-AR214,MAX(0,ROUND(ROUND(Долги!$D$19-SUM($AL214:$AU214),2)-(SUM($H214:M214)-SUM($AL214:AQ214)),2)))</f>
        <v>0.0</v>
      </c>
      <c r="O214" s="31">
        <f>AS214+MIN(Y213+AI214-AS214,MAX(0,ROUND(ROUND(Долги!$D$19-SUM($AL214:$AU214),2)-(SUM($H214:N214)-SUM($AL214:AR214)),2)))</f>
        <v>0.0</v>
      </c>
      <c r="P214" s="31">
        <f>AT214+MIN(Z213+AJ214-AT214,MAX(0,ROUND(ROUND(Долги!$D$19-SUM($AL214:$AU214),2)-(SUM($H214:O214)-SUM($AL214:AS214)),2)))</f>
        <v>0.0</v>
      </c>
      <c r="Q214" s="31">
        <f>AU214+MIN(AA213+AK214-AU214,MAX(0,ROUND(ROUND(Долги!$D$19-SUM($AL214:$AU214),2)-(SUM($H214:P214)-SUM($AL214:AT214)),2)))</f>
        <v>0.0</v>
      </c>
      <c r="R214" s="31">
        <f>IF(R213+AB214-H214&lt;=0.01,0,ROUND(R213+AB214-H214,2))</f>
        <v>0.0</v>
      </c>
      <c r="S214" s="31">
        <f>IF(S213+AC214-I214&lt;=0.01,0,ROUND(S213+AC214-I214,2))</f>
        <v>0.0</v>
      </c>
      <c r="T214" s="31">
        <f>IF(T213+AD214-J214&lt;=0.01,0,ROUND(T213+AD214-J214,2))</f>
        <v>0.0</v>
      </c>
      <c r="U214" s="31">
        <f>IF(U213+AE214-K214&lt;=0.01,0,ROUND(U213+AE214-K214,2))</f>
        <v>0.0</v>
      </c>
      <c r="V214" s="31">
        <f>IF(V213+AF214-L214&lt;=0.01,0,ROUND(V213+AF214-L214,2))</f>
        <v>0.0</v>
      </c>
      <c r="W214" s="31">
        <f>IF(W213+AG214-M214&lt;=0.01,0,ROUND(W213+AG214-M214,2))</f>
        <v>0.0</v>
      </c>
      <c r="X214" s="31">
        <f>IF(X213+AH214-N214&lt;=0.01,0,ROUND(X213+AH214-N214,2))</f>
        <v>0.0</v>
      </c>
      <c r="Y214" s="31">
        <f>IF(Y213+AI214-O214&lt;=0.01,0,ROUND(Y213+AI214-O214,2))</f>
        <v>0.0</v>
      </c>
      <c r="Z214" s="31">
        <f>IF(Z213+AJ214-P214&lt;=0.01,0,ROUND(Z213+AJ214-P214,2))</f>
        <v>0.0</v>
      </c>
      <c r="AA214" s="31">
        <f>IF(AA213+AK214-Q214&lt;=0.01,0,ROUND(AA213+AK214-Q214,2))</f>
        <v>0.0</v>
      </c>
      <c r="AB214" s="31">
        <f>ROUND(R213*AB$5/1200,2)</f>
        <v>0.0</v>
      </c>
      <c r="AC214" s="31">
        <f>ROUND(S213*AC$5/1200,2)</f>
        <v>0.0</v>
      </c>
      <c r="AD214" s="31">
        <f>ROUND(T213*AD$5/1200,2)</f>
        <v>0.0</v>
      </c>
      <c r="AE214" s="31">
        <f>ROUND(U213*AE$5/1200,2)</f>
        <v>0.0</v>
      </c>
      <c r="AF214" s="31">
        <f>ROUND(V213*AF$5/1200,2)</f>
        <v>0.0</v>
      </c>
      <c r="AG214" s="31">
        <f>ROUND(W213*AG$5/1200,2)</f>
        <v>0.0</v>
      </c>
      <c r="AH214" s="31">
        <f>ROUND(X213*AH$5/1200,2)</f>
        <v>0.0</v>
      </c>
      <c r="AI214" s="31">
        <f>ROUND(Y213*AI$5/1200,2)</f>
        <v>0.0</v>
      </c>
      <c r="AJ214" s="31">
        <f>ROUND(Z213*AJ$5/1200,2)</f>
        <v>0.0</v>
      </c>
      <c r="AK214" s="31">
        <f>ROUND(AA213*AK$5/1200,2)</f>
        <v>0.0</v>
      </c>
      <c r="AL214" s="31">
        <f>MIN(AL$5,R213+AB214)</f>
        <v>0.0</v>
      </c>
      <c r="AM214" s="31">
        <f>MIN(AM$5,S213+AC214)</f>
        <v>0.0</v>
      </c>
      <c r="AN214" s="31">
        <f>MIN(AN$5,T213+AD214)</f>
        <v>0.0</v>
      </c>
      <c r="AO214" s="31">
        <f>MIN(AO$5,U213+AE214)</f>
        <v>0.0</v>
      </c>
      <c r="AP214" s="31">
        <f>MIN(AP$5,V213+AF214)</f>
        <v>0.0</v>
      </c>
      <c r="AQ214" s="31">
        <f>MIN(AQ$5,W213+AG214)</f>
        <v>0.0</v>
      </c>
      <c r="AR214" s="31">
        <f>MIN(AR$5,X213+AH214)</f>
        <v>0.0</v>
      </c>
      <c r="AS214" s="31">
        <f>MIN(AS$5,Y213+AI214)</f>
        <v>0.0</v>
      </c>
      <c r="AT214" s="31">
        <f>MIN(AT$5,Z213+AJ214)</f>
        <v>0.0</v>
      </c>
      <c r="AU214" s="31">
        <f>MIN(AU$5,AA213+AK214)</f>
        <v>0.0</v>
      </c>
    </row>
    <row r="215">
      <c r="A215" s="25" t="str">
        <f>IF(F214&gt;0.005,210,"")</f>
        <v/>
      </c>
      <c r="B215" s="33" t="str">
        <f>IF(A215="","",EDATE(Долги!$D$5,209))</f>
        <v/>
      </c>
      <c r="C215" s="31">
        <f>SUM(H215:Q215)</f>
        <v>0.0</v>
      </c>
      <c r="D215" s="31">
        <f>SUM(AB215:AK215)</f>
        <v>0.0</v>
      </c>
      <c r="E215" s="31">
        <f>C215-D215</f>
        <v>0.0</v>
      </c>
      <c r="F215" s="31">
        <f>SUM(R215:AA215)</f>
        <v>0.0</v>
      </c>
      <c r="G215" s="34" t="str">
        <f>IF(OR(A215="",$F$5&lt;=0),"",REPT("█",ROUND(20*F215/$F$5,0)))</f>
        <v/>
      </c>
      <c r="H215" s="31">
        <f>AL215+MIN(R214+AB215-AL215,MAX(0,ROUND(Долги!$D$19-SUM($AL215:$AU215),2)))</f>
        <v>0.0</v>
      </c>
      <c r="I215" s="31">
        <f>AM215+MIN(S214+AC215-AM215,MAX(0,ROUND(ROUND(Долги!$D$19-SUM($AL215:$AU215),2)-(SUM($H215:H215)-SUM($AL215:AL215)),2)))</f>
        <v>0.0</v>
      </c>
      <c r="J215" s="31">
        <f>AN215+MIN(T214+AD215-AN215,MAX(0,ROUND(ROUND(Долги!$D$19-SUM($AL215:$AU215),2)-(SUM($H215:I215)-SUM($AL215:AM215)),2)))</f>
        <v>0.0</v>
      </c>
      <c r="K215" s="31">
        <f>AO215+MIN(U214+AE215-AO215,MAX(0,ROUND(ROUND(Долги!$D$19-SUM($AL215:$AU215),2)-(SUM($H215:J215)-SUM($AL215:AN215)),2)))</f>
        <v>0.0</v>
      </c>
      <c r="L215" s="31">
        <f>AP215+MIN(V214+AF215-AP215,MAX(0,ROUND(ROUND(Долги!$D$19-SUM($AL215:$AU215),2)-(SUM($H215:K215)-SUM($AL215:AO215)),2)))</f>
        <v>0.0</v>
      </c>
      <c r="M215" s="31">
        <f>AQ215+MIN(W214+AG215-AQ215,MAX(0,ROUND(ROUND(Долги!$D$19-SUM($AL215:$AU215),2)-(SUM($H215:L215)-SUM($AL215:AP215)),2)))</f>
        <v>0.0</v>
      </c>
      <c r="N215" s="31">
        <f>AR215+MIN(X214+AH215-AR215,MAX(0,ROUND(ROUND(Долги!$D$19-SUM($AL215:$AU215),2)-(SUM($H215:M215)-SUM($AL215:AQ215)),2)))</f>
        <v>0.0</v>
      </c>
      <c r="O215" s="31">
        <f>AS215+MIN(Y214+AI215-AS215,MAX(0,ROUND(ROUND(Долги!$D$19-SUM($AL215:$AU215),2)-(SUM($H215:N215)-SUM($AL215:AR215)),2)))</f>
        <v>0.0</v>
      </c>
      <c r="P215" s="31">
        <f>AT215+MIN(Z214+AJ215-AT215,MAX(0,ROUND(ROUND(Долги!$D$19-SUM($AL215:$AU215),2)-(SUM($H215:O215)-SUM($AL215:AS215)),2)))</f>
        <v>0.0</v>
      </c>
      <c r="Q215" s="31">
        <f>AU215+MIN(AA214+AK215-AU215,MAX(0,ROUND(ROUND(Долги!$D$19-SUM($AL215:$AU215),2)-(SUM($H215:P215)-SUM($AL215:AT215)),2)))</f>
        <v>0.0</v>
      </c>
      <c r="R215" s="31">
        <f>IF(R214+AB215-H215&lt;=0.01,0,ROUND(R214+AB215-H215,2))</f>
        <v>0.0</v>
      </c>
      <c r="S215" s="31">
        <f>IF(S214+AC215-I215&lt;=0.01,0,ROUND(S214+AC215-I215,2))</f>
        <v>0.0</v>
      </c>
      <c r="T215" s="31">
        <f>IF(T214+AD215-J215&lt;=0.01,0,ROUND(T214+AD215-J215,2))</f>
        <v>0.0</v>
      </c>
      <c r="U215" s="31">
        <f>IF(U214+AE215-K215&lt;=0.01,0,ROUND(U214+AE215-K215,2))</f>
        <v>0.0</v>
      </c>
      <c r="V215" s="31">
        <f>IF(V214+AF215-L215&lt;=0.01,0,ROUND(V214+AF215-L215,2))</f>
        <v>0.0</v>
      </c>
      <c r="W215" s="31">
        <f>IF(W214+AG215-M215&lt;=0.01,0,ROUND(W214+AG215-M215,2))</f>
        <v>0.0</v>
      </c>
      <c r="X215" s="31">
        <f>IF(X214+AH215-N215&lt;=0.01,0,ROUND(X214+AH215-N215,2))</f>
        <v>0.0</v>
      </c>
      <c r="Y215" s="31">
        <f>IF(Y214+AI215-O215&lt;=0.01,0,ROUND(Y214+AI215-O215,2))</f>
        <v>0.0</v>
      </c>
      <c r="Z215" s="31">
        <f>IF(Z214+AJ215-P215&lt;=0.01,0,ROUND(Z214+AJ215-P215,2))</f>
        <v>0.0</v>
      </c>
      <c r="AA215" s="31">
        <f>IF(AA214+AK215-Q215&lt;=0.01,0,ROUND(AA214+AK215-Q215,2))</f>
        <v>0.0</v>
      </c>
      <c r="AB215" s="31">
        <f>ROUND(R214*AB$5/1200,2)</f>
        <v>0.0</v>
      </c>
      <c r="AC215" s="31">
        <f>ROUND(S214*AC$5/1200,2)</f>
        <v>0.0</v>
      </c>
      <c r="AD215" s="31">
        <f>ROUND(T214*AD$5/1200,2)</f>
        <v>0.0</v>
      </c>
      <c r="AE215" s="31">
        <f>ROUND(U214*AE$5/1200,2)</f>
        <v>0.0</v>
      </c>
      <c r="AF215" s="31">
        <f>ROUND(V214*AF$5/1200,2)</f>
        <v>0.0</v>
      </c>
      <c r="AG215" s="31">
        <f>ROUND(W214*AG$5/1200,2)</f>
        <v>0.0</v>
      </c>
      <c r="AH215" s="31">
        <f>ROUND(X214*AH$5/1200,2)</f>
        <v>0.0</v>
      </c>
      <c r="AI215" s="31">
        <f>ROUND(Y214*AI$5/1200,2)</f>
        <v>0.0</v>
      </c>
      <c r="AJ215" s="31">
        <f>ROUND(Z214*AJ$5/1200,2)</f>
        <v>0.0</v>
      </c>
      <c r="AK215" s="31">
        <f>ROUND(AA214*AK$5/1200,2)</f>
        <v>0.0</v>
      </c>
      <c r="AL215" s="31">
        <f>MIN(AL$5,R214+AB215)</f>
        <v>0.0</v>
      </c>
      <c r="AM215" s="31">
        <f>MIN(AM$5,S214+AC215)</f>
        <v>0.0</v>
      </c>
      <c r="AN215" s="31">
        <f>MIN(AN$5,T214+AD215)</f>
        <v>0.0</v>
      </c>
      <c r="AO215" s="31">
        <f>MIN(AO$5,U214+AE215)</f>
        <v>0.0</v>
      </c>
      <c r="AP215" s="31">
        <f>MIN(AP$5,V214+AF215)</f>
        <v>0.0</v>
      </c>
      <c r="AQ215" s="31">
        <f>MIN(AQ$5,W214+AG215)</f>
        <v>0.0</v>
      </c>
      <c r="AR215" s="31">
        <f>MIN(AR$5,X214+AH215)</f>
        <v>0.0</v>
      </c>
      <c r="AS215" s="31">
        <f>MIN(AS$5,Y214+AI215)</f>
        <v>0.0</v>
      </c>
      <c r="AT215" s="31">
        <f>MIN(AT$5,Z214+AJ215)</f>
        <v>0.0</v>
      </c>
      <c r="AU215" s="31">
        <f>MIN(AU$5,AA214+AK215)</f>
        <v>0.0</v>
      </c>
    </row>
    <row r="216">
      <c r="A216" s="25" t="str">
        <f>IF(F215&gt;0.005,211,"")</f>
        <v/>
      </c>
      <c r="B216" s="33" t="str">
        <f>IF(A216="","",EDATE(Долги!$D$5,210))</f>
        <v/>
      </c>
      <c r="C216" s="31">
        <f>SUM(H216:Q216)</f>
        <v>0.0</v>
      </c>
      <c r="D216" s="31">
        <f>SUM(AB216:AK216)</f>
        <v>0.0</v>
      </c>
      <c r="E216" s="31">
        <f>C216-D216</f>
        <v>0.0</v>
      </c>
      <c r="F216" s="31">
        <f>SUM(R216:AA216)</f>
        <v>0.0</v>
      </c>
      <c r="G216" s="34" t="str">
        <f>IF(OR(A216="",$F$5&lt;=0),"",REPT("█",ROUND(20*F216/$F$5,0)))</f>
        <v/>
      </c>
      <c r="H216" s="31">
        <f>AL216+MIN(R215+AB216-AL216,MAX(0,ROUND(Долги!$D$19-SUM($AL216:$AU216),2)))</f>
        <v>0.0</v>
      </c>
      <c r="I216" s="31">
        <f>AM216+MIN(S215+AC216-AM216,MAX(0,ROUND(ROUND(Долги!$D$19-SUM($AL216:$AU216),2)-(SUM($H216:H216)-SUM($AL216:AL216)),2)))</f>
        <v>0.0</v>
      </c>
      <c r="J216" s="31">
        <f>AN216+MIN(T215+AD216-AN216,MAX(0,ROUND(ROUND(Долги!$D$19-SUM($AL216:$AU216),2)-(SUM($H216:I216)-SUM($AL216:AM216)),2)))</f>
        <v>0.0</v>
      </c>
      <c r="K216" s="31">
        <f>AO216+MIN(U215+AE216-AO216,MAX(0,ROUND(ROUND(Долги!$D$19-SUM($AL216:$AU216),2)-(SUM($H216:J216)-SUM($AL216:AN216)),2)))</f>
        <v>0.0</v>
      </c>
      <c r="L216" s="31">
        <f>AP216+MIN(V215+AF216-AP216,MAX(0,ROUND(ROUND(Долги!$D$19-SUM($AL216:$AU216),2)-(SUM($H216:K216)-SUM($AL216:AO216)),2)))</f>
        <v>0.0</v>
      </c>
      <c r="M216" s="31">
        <f>AQ216+MIN(W215+AG216-AQ216,MAX(0,ROUND(ROUND(Долги!$D$19-SUM($AL216:$AU216),2)-(SUM($H216:L216)-SUM($AL216:AP216)),2)))</f>
        <v>0.0</v>
      </c>
      <c r="N216" s="31">
        <f>AR216+MIN(X215+AH216-AR216,MAX(0,ROUND(ROUND(Долги!$D$19-SUM($AL216:$AU216),2)-(SUM($H216:M216)-SUM($AL216:AQ216)),2)))</f>
        <v>0.0</v>
      </c>
      <c r="O216" s="31">
        <f>AS216+MIN(Y215+AI216-AS216,MAX(0,ROUND(ROUND(Долги!$D$19-SUM($AL216:$AU216),2)-(SUM($H216:N216)-SUM($AL216:AR216)),2)))</f>
        <v>0.0</v>
      </c>
      <c r="P216" s="31">
        <f>AT216+MIN(Z215+AJ216-AT216,MAX(0,ROUND(ROUND(Долги!$D$19-SUM($AL216:$AU216),2)-(SUM($H216:O216)-SUM($AL216:AS216)),2)))</f>
        <v>0.0</v>
      </c>
      <c r="Q216" s="31">
        <f>AU216+MIN(AA215+AK216-AU216,MAX(0,ROUND(ROUND(Долги!$D$19-SUM($AL216:$AU216),2)-(SUM($H216:P216)-SUM($AL216:AT216)),2)))</f>
        <v>0.0</v>
      </c>
      <c r="R216" s="31">
        <f>IF(R215+AB216-H216&lt;=0.01,0,ROUND(R215+AB216-H216,2))</f>
        <v>0.0</v>
      </c>
      <c r="S216" s="31">
        <f>IF(S215+AC216-I216&lt;=0.01,0,ROUND(S215+AC216-I216,2))</f>
        <v>0.0</v>
      </c>
      <c r="T216" s="31">
        <f>IF(T215+AD216-J216&lt;=0.01,0,ROUND(T215+AD216-J216,2))</f>
        <v>0.0</v>
      </c>
      <c r="U216" s="31">
        <f>IF(U215+AE216-K216&lt;=0.01,0,ROUND(U215+AE216-K216,2))</f>
        <v>0.0</v>
      </c>
      <c r="V216" s="31">
        <f>IF(V215+AF216-L216&lt;=0.01,0,ROUND(V215+AF216-L216,2))</f>
        <v>0.0</v>
      </c>
      <c r="W216" s="31">
        <f>IF(W215+AG216-M216&lt;=0.01,0,ROUND(W215+AG216-M216,2))</f>
        <v>0.0</v>
      </c>
      <c r="X216" s="31">
        <f>IF(X215+AH216-N216&lt;=0.01,0,ROUND(X215+AH216-N216,2))</f>
        <v>0.0</v>
      </c>
      <c r="Y216" s="31">
        <f>IF(Y215+AI216-O216&lt;=0.01,0,ROUND(Y215+AI216-O216,2))</f>
        <v>0.0</v>
      </c>
      <c r="Z216" s="31">
        <f>IF(Z215+AJ216-P216&lt;=0.01,0,ROUND(Z215+AJ216-P216,2))</f>
        <v>0.0</v>
      </c>
      <c r="AA216" s="31">
        <f>IF(AA215+AK216-Q216&lt;=0.01,0,ROUND(AA215+AK216-Q216,2))</f>
        <v>0.0</v>
      </c>
      <c r="AB216" s="31">
        <f>ROUND(R215*AB$5/1200,2)</f>
        <v>0.0</v>
      </c>
      <c r="AC216" s="31">
        <f>ROUND(S215*AC$5/1200,2)</f>
        <v>0.0</v>
      </c>
      <c r="AD216" s="31">
        <f>ROUND(T215*AD$5/1200,2)</f>
        <v>0.0</v>
      </c>
      <c r="AE216" s="31">
        <f>ROUND(U215*AE$5/1200,2)</f>
        <v>0.0</v>
      </c>
      <c r="AF216" s="31">
        <f>ROUND(V215*AF$5/1200,2)</f>
        <v>0.0</v>
      </c>
      <c r="AG216" s="31">
        <f>ROUND(W215*AG$5/1200,2)</f>
        <v>0.0</v>
      </c>
      <c r="AH216" s="31">
        <f>ROUND(X215*AH$5/1200,2)</f>
        <v>0.0</v>
      </c>
      <c r="AI216" s="31">
        <f>ROUND(Y215*AI$5/1200,2)</f>
        <v>0.0</v>
      </c>
      <c r="AJ216" s="31">
        <f>ROUND(Z215*AJ$5/1200,2)</f>
        <v>0.0</v>
      </c>
      <c r="AK216" s="31">
        <f>ROUND(AA215*AK$5/1200,2)</f>
        <v>0.0</v>
      </c>
      <c r="AL216" s="31">
        <f>MIN(AL$5,R215+AB216)</f>
        <v>0.0</v>
      </c>
      <c r="AM216" s="31">
        <f>MIN(AM$5,S215+AC216)</f>
        <v>0.0</v>
      </c>
      <c r="AN216" s="31">
        <f>MIN(AN$5,T215+AD216)</f>
        <v>0.0</v>
      </c>
      <c r="AO216" s="31">
        <f>MIN(AO$5,U215+AE216)</f>
        <v>0.0</v>
      </c>
      <c r="AP216" s="31">
        <f>MIN(AP$5,V215+AF216)</f>
        <v>0.0</v>
      </c>
      <c r="AQ216" s="31">
        <f>MIN(AQ$5,W215+AG216)</f>
        <v>0.0</v>
      </c>
      <c r="AR216" s="31">
        <f>MIN(AR$5,X215+AH216)</f>
        <v>0.0</v>
      </c>
      <c r="AS216" s="31">
        <f>MIN(AS$5,Y215+AI216)</f>
        <v>0.0</v>
      </c>
      <c r="AT216" s="31">
        <f>MIN(AT$5,Z215+AJ216)</f>
        <v>0.0</v>
      </c>
      <c r="AU216" s="31">
        <f>MIN(AU$5,AA215+AK216)</f>
        <v>0.0</v>
      </c>
    </row>
    <row r="217">
      <c r="A217" s="25" t="str">
        <f>IF(F216&gt;0.005,212,"")</f>
        <v/>
      </c>
      <c r="B217" s="33" t="str">
        <f>IF(A217="","",EDATE(Долги!$D$5,211))</f>
        <v/>
      </c>
      <c r="C217" s="31">
        <f>SUM(H217:Q217)</f>
        <v>0.0</v>
      </c>
      <c r="D217" s="31">
        <f>SUM(AB217:AK217)</f>
        <v>0.0</v>
      </c>
      <c r="E217" s="31">
        <f>C217-D217</f>
        <v>0.0</v>
      </c>
      <c r="F217" s="31">
        <f>SUM(R217:AA217)</f>
        <v>0.0</v>
      </c>
      <c r="G217" s="34" t="str">
        <f>IF(OR(A217="",$F$5&lt;=0),"",REPT("█",ROUND(20*F217/$F$5,0)))</f>
        <v/>
      </c>
      <c r="H217" s="31">
        <f>AL217+MIN(R216+AB217-AL217,MAX(0,ROUND(Долги!$D$19-SUM($AL217:$AU217),2)))</f>
        <v>0.0</v>
      </c>
      <c r="I217" s="31">
        <f>AM217+MIN(S216+AC217-AM217,MAX(0,ROUND(ROUND(Долги!$D$19-SUM($AL217:$AU217),2)-(SUM($H217:H217)-SUM($AL217:AL217)),2)))</f>
        <v>0.0</v>
      </c>
      <c r="J217" s="31">
        <f>AN217+MIN(T216+AD217-AN217,MAX(0,ROUND(ROUND(Долги!$D$19-SUM($AL217:$AU217),2)-(SUM($H217:I217)-SUM($AL217:AM217)),2)))</f>
        <v>0.0</v>
      </c>
      <c r="K217" s="31">
        <f>AO217+MIN(U216+AE217-AO217,MAX(0,ROUND(ROUND(Долги!$D$19-SUM($AL217:$AU217),2)-(SUM($H217:J217)-SUM($AL217:AN217)),2)))</f>
        <v>0.0</v>
      </c>
      <c r="L217" s="31">
        <f>AP217+MIN(V216+AF217-AP217,MAX(0,ROUND(ROUND(Долги!$D$19-SUM($AL217:$AU217),2)-(SUM($H217:K217)-SUM($AL217:AO217)),2)))</f>
        <v>0.0</v>
      </c>
      <c r="M217" s="31">
        <f>AQ217+MIN(W216+AG217-AQ217,MAX(0,ROUND(ROUND(Долги!$D$19-SUM($AL217:$AU217),2)-(SUM($H217:L217)-SUM($AL217:AP217)),2)))</f>
        <v>0.0</v>
      </c>
      <c r="N217" s="31">
        <f>AR217+MIN(X216+AH217-AR217,MAX(0,ROUND(ROUND(Долги!$D$19-SUM($AL217:$AU217),2)-(SUM($H217:M217)-SUM($AL217:AQ217)),2)))</f>
        <v>0.0</v>
      </c>
      <c r="O217" s="31">
        <f>AS217+MIN(Y216+AI217-AS217,MAX(0,ROUND(ROUND(Долги!$D$19-SUM($AL217:$AU217),2)-(SUM($H217:N217)-SUM($AL217:AR217)),2)))</f>
        <v>0.0</v>
      </c>
      <c r="P217" s="31">
        <f>AT217+MIN(Z216+AJ217-AT217,MAX(0,ROUND(ROUND(Долги!$D$19-SUM($AL217:$AU217),2)-(SUM($H217:O217)-SUM($AL217:AS217)),2)))</f>
        <v>0.0</v>
      </c>
      <c r="Q217" s="31">
        <f>AU217+MIN(AA216+AK217-AU217,MAX(0,ROUND(ROUND(Долги!$D$19-SUM($AL217:$AU217),2)-(SUM($H217:P217)-SUM($AL217:AT217)),2)))</f>
        <v>0.0</v>
      </c>
      <c r="R217" s="31">
        <f>IF(R216+AB217-H217&lt;=0.01,0,ROUND(R216+AB217-H217,2))</f>
        <v>0.0</v>
      </c>
      <c r="S217" s="31">
        <f>IF(S216+AC217-I217&lt;=0.01,0,ROUND(S216+AC217-I217,2))</f>
        <v>0.0</v>
      </c>
      <c r="T217" s="31">
        <f>IF(T216+AD217-J217&lt;=0.01,0,ROUND(T216+AD217-J217,2))</f>
        <v>0.0</v>
      </c>
      <c r="U217" s="31">
        <f>IF(U216+AE217-K217&lt;=0.01,0,ROUND(U216+AE217-K217,2))</f>
        <v>0.0</v>
      </c>
      <c r="V217" s="31">
        <f>IF(V216+AF217-L217&lt;=0.01,0,ROUND(V216+AF217-L217,2))</f>
        <v>0.0</v>
      </c>
      <c r="W217" s="31">
        <f>IF(W216+AG217-M217&lt;=0.01,0,ROUND(W216+AG217-M217,2))</f>
        <v>0.0</v>
      </c>
      <c r="X217" s="31">
        <f>IF(X216+AH217-N217&lt;=0.01,0,ROUND(X216+AH217-N217,2))</f>
        <v>0.0</v>
      </c>
      <c r="Y217" s="31">
        <f>IF(Y216+AI217-O217&lt;=0.01,0,ROUND(Y216+AI217-O217,2))</f>
        <v>0.0</v>
      </c>
      <c r="Z217" s="31">
        <f>IF(Z216+AJ217-P217&lt;=0.01,0,ROUND(Z216+AJ217-P217,2))</f>
        <v>0.0</v>
      </c>
      <c r="AA217" s="31">
        <f>IF(AA216+AK217-Q217&lt;=0.01,0,ROUND(AA216+AK217-Q217,2))</f>
        <v>0.0</v>
      </c>
      <c r="AB217" s="31">
        <f>ROUND(R216*AB$5/1200,2)</f>
        <v>0.0</v>
      </c>
      <c r="AC217" s="31">
        <f>ROUND(S216*AC$5/1200,2)</f>
        <v>0.0</v>
      </c>
      <c r="AD217" s="31">
        <f>ROUND(T216*AD$5/1200,2)</f>
        <v>0.0</v>
      </c>
      <c r="AE217" s="31">
        <f>ROUND(U216*AE$5/1200,2)</f>
        <v>0.0</v>
      </c>
      <c r="AF217" s="31">
        <f>ROUND(V216*AF$5/1200,2)</f>
        <v>0.0</v>
      </c>
      <c r="AG217" s="31">
        <f>ROUND(W216*AG$5/1200,2)</f>
        <v>0.0</v>
      </c>
      <c r="AH217" s="31">
        <f>ROUND(X216*AH$5/1200,2)</f>
        <v>0.0</v>
      </c>
      <c r="AI217" s="31">
        <f>ROUND(Y216*AI$5/1200,2)</f>
        <v>0.0</v>
      </c>
      <c r="AJ217" s="31">
        <f>ROUND(Z216*AJ$5/1200,2)</f>
        <v>0.0</v>
      </c>
      <c r="AK217" s="31">
        <f>ROUND(AA216*AK$5/1200,2)</f>
        <v>0.0</v>
      </c>
      <c r="AL217" s="31">
        <f>MIN(AL$5,R216+AB217)</f>
        <v>0.0</v>
      </c>
      <c r="AM217" s="31">
        <f>MIN(AM$5,S216+AC217)</f>
        <v>0.0</v>
      </c>
      <c r="AN217" s="31">
        <f>MIN(AN$5,T216+AD217)</f>
        <v>0.0</v>
      </c>
      <c r="AO217" s="31">
        <f>MIN(AO$5,U216+AE217)</f>
        <v>0.0</v>
      </c>
      <c r="AP217" s="31">
        <f>MIN(AP$5,V216+AF217)</f>
        <v>0.0</v>
      </c>
      <c r="AQ217" s="31">
        <f>MIN(AQ$5,W216+AG217)</f>
        <v>0.0</v>
      </c>
      <c r="AR217" s="31">
        <f>MIN(AR$5,X216+AH217)</f>
        <v>0.0</v>
      </c>
      <c r="AS217" s="31">
        <f>MIN(AS$5,Y216+AI217)</f>
        <v>0.0</v>
      </c>
      <c r="AT217" s="31">
        <f>MIN(AT$5,Z216+AJ217)</f>
        <v>0.0</v>
      </c>
      <c r="AU217" s="31">
        <f>MIN(AU$5,AA216+AK217)</f>
        <v>0.0</v>
      </c>
    </row>
    <row r="218">
      <c r="A218" s="25" t="str">
        <f>IF(F217&gt;0.005,213,"")</f>
        <v/>
      </c>
      <c r="B218" s="33" t="str">
        <f>IF(A218="","",EDATE(Долги!$D$5,212))</f>
        <v/>
      </c>
      <c r="C218" s="31">
        <f>SUM(H218:Q218)</f>
        <v>0.0</v>
      </c>
      <c r="D218" s="31">
        <f>SUM(AB218:AK218)</f>
        <v>0.0</v>
      </c>
      <c r="E218" s="31">
        <f>C218-D218</f>
        <v>0.0</v>
      </c>
      <c r="F218" s="31">
        <f>SUM(R218:AA218)</f>
        <v>0.0</v>
      </c>
      <c r="G218" s="34" t="str">
        <f>IF(OR(A218="",$F$5&lt;=0),"",REPT("█",ROUND(20*F218/$F$5,0)))</f>
        <v/>
      </c>
      <c r="H218" s="31">
        <f>AL218+MIN(R217+AB218-AL218,MAX(0,ROUND(Долги!$D$19-SUM($AL218:$AU218),2)))</f>
        <v>0.0</v>
      </c>
      <c r="I218" s="31">
        <f>AM218+MIN(S217+AC218-AM218,MAX(0,ROUND(ROUND(Долги!$D$19-SUM($AL218:$AU218),2)-(SUM($H218:H218)-SUM($AL218:AL218)),2)))</f>
        <v>0.0</v>
      </c>
      <c r="J218" s="31">
        <f>AN218+MIN(T217+AD218-AN218,MAX(0,ROUND(ROUND(Долги!$D$19-SUM($AL218:$AU218),2)-(SUM($H218:I218)-SUM($AL218:AM218)),2)))</f>
        <v>0.0</v>
      </c>
      <c r="K218" s="31">
        <f>AO218+MIN(U217+AE218-AO218,MAX(0,ROUND(ROUND(Долги!$D$19-SUM($AL218:$AU218),2)-(SUM($H218:J218)-SUM($AL218:AN218)),2)))</f>
        <v>0.0</v>
      </c>
      <c r="L218" s="31">
        <f>AP218+MIN(V217+AF218-AP218,MAX(0,ROUND(ROUND(Долги!$D$19-SUM($AL218:$AU218),2)-(SUM($H218:K218)-SUM($AL218:AO218)),2)))</f>
        <v>0.0</v>
      </c>
      <c r="M218" s="31">
        <f>AQ218+MIN(W217+AG218-AQ218,MAX(0,ROUND(ROUND(Долги!$D$19-SUM($AL218:$AU218),2)-(SUM($H218:L218)-SUM($AL218:AP218)),2)))</f>
        <v>0.0</v>
      </c>
      <c r="N218" s="31">
        <f>AR218+MIN(X217+AH218-AR218,MAX(0,ROUND(ROUND(Долги!$D$19-SUM($AL218:$AU218),2)-(SUM($H218:M218)-SUM($AL218:AQ218)),2)))</f>
        <v>0.0</v>
      </c>
      <c r="O218" s="31">
        <f>AS218+MIN(Y217+AI218-AS218,MAX(0,ROUND(ROUND(Долги!$D$19-SUM($AL218:$AU218),2)-(SUM($H218:N218)-SUM($AL218:AR218)),2)))</f>
        <v>0.0</v>
      </c>
      <c r="P218" s="31">
        <f>AT218+MIN(Z217+AJ218-AT218,MAX(0,ROUND(ROUND(Долги!$D$19-SUM($AL218:$AU218),2)-(SUM($H218:O218)-SUM($AL218:AS218)),2)))</f>
        <v>0.0</v>
      </c>
      <c r="Q218" s="31">
        <f>AU218+MIN(AA217+AK218-AU218,MAX(0,ROUND(ROUND(Долги!$D$19-SUM($AL218:$AU218),2)-(SUM($H218:P218)-SUM($AL218:AT218)),2)))</f>
        <v>0.0</v>
      </c>
      <c r="R218" s="31">
        <f>IF(R217+AB218-H218&lt;=0.01,0,ROUND(R217+AB218-H218,2))</f>
        <v>0.0</v>
      </c>
      <c r="S218" s="31">
        <f>IF(S217+AC218-I218&lt;=0.01,0,ROUND(S217+AC218-I218,2))</f>
        <v>0.0</v>
      </c>
      <c r="T218" s="31">
        <f>IF(T217+AD218-J218&lt;=0.01,0,ROUND(T217+AD218-J218,2))</f>
        <v>0.0</v>
      </c>
      <c r="U218" s="31">
        <f>IF(U217+AE218-K218&lt;=0.01,0,ROUND(U217+AE218-K218,2))</f>
        <v>0.0</v>
      </c>
      <c r="V218" s="31">
        <f>IF(V217+AF218-L218&lt;=0.01,0,ROUND(V217+AF218-L218,2))</f>
        <v>0.0</v>
      </c>
      <c r="W218" s="31">
        <f>IF(W217+AG218-M218&lt;=0.01,0,ROUND(W217+AG218-M218,2))</f>
        <v>0.0</v>
      </c>
      <c r="X218" s="31">
        <f>IF(X217+AH218-N218&lt;=0.01,0,ROUND(X217+AH218-N218,2))</f>
        <v>0.0</v>
      </c>
      <c r="Y218" s="31">
        <f>IF(Y217+AI218-O218&lt;=0.01,0,ROUND(Y217+AI218-O218,2))</f>
        <v>0.0</v>
      </c>
      <c r="Z218" s="31">
        <f>IF(Z217+AJ218-P218&lt;=0.01,0,ROUND(Z217+AJ218-P218,2))</f>
        <v>0.0</v>
      </c>
      <c r="AA218" s="31">
        <f>IF(AA217+AK218-Q218&lt;=0.01,0,ROUND(AA217+AK218-Q218,2))</f>
        <v>0.0</v>
      </c>
      <c r="AB218" s="31">
        <f>ROUND(R217*AB$5/1200,2)</f>
        <v>0.0</v>
      </c>
      <c r="AC218" s="31">
        <f>ROUND(S217*AC$5/1200,2)</f>
        <v>0.0</v>
      </c>
      <c r="AD218" s="31">
        <f>ROUND(T217*AD$5/1200,2)</f>
        <v>0.0</v>
      </c>
      <c r="AE218" s="31">
        <f>ROUND(U217*AE$5/1200,2)</f>
        <v>0.0</v>
      </c>
      <c r="AF218" s="31">
        <f>ROUND(V217*AF$5/1200,2)</f>
        <v>0.0</v>
      </c>
      <c r="AG218" s="31">
        <f>ROUND(W217*AG$5/1200,2)</f>
        <v>0.0</v>
      </c>
      <c r="AH218" s="31">
        <f>ROUND(X217*AH$5/1200,2)</f>
        <v>0.0</v>
      </c>
      <c r="AI218" s="31">
        <f>ROUND(Y217*AI$5/1200,2)</f>
        <v>0.0</v>
      </c>
      <c r="AJ218" s="31">
        <f>ROUND(Z217*AJ$5/1200,2)</f>
        <v>0.0</v>
      </c>
      <c r="AK218" s="31">
        <f>ROUND(AA217*AK$5/1200,2)</f>
        <v>0.0</v>
      </c>
      <c r="AL218" s="31">
        <f>MIN(AL$5,R217+AB218)</f>
        <v>0.0</v>
      </c>
      <c r="AM218" s="31">
        <f>MIN(AM$5,S217+AC218)</f>
        <v>0.0</v>
      </c>
      <c r="AN218" s="31">
        <f>MIN(AN$5,T217+AD218)</f>
        <v>0.0</v>
      </c>
      <c r="AO218" s="31">
        <f>MIN(AO$5,U217+AE218)</f>
        <v>0.0</v>
      </c>
      <c r="AP218" s="31">
        <f>MIN(AP$5,V217+AF218)</f>
        <v>0.0</v>
      </c>
      <c r="AQ218" s="31">
        <f>MIN(AQ$5,W217+AG218)</f>
        <v>0.0</v>
      </c>
      <c r="AR218" s="31">
        <f>MIN(AR$5,X217+AH218)</f>
        <v>0.0</v>
      </c>
      <c r="AS218" s="31">
        <f>MIN(AS$5,Y217+AI218)</f>
        <v>0.0</v>
      </c>
      <c r="AT218" s="31">
        <f>MIN(AT$5,Z217+AJ218)</f>
        <v>0.0</v>
      </c>
      <c r="AU218" s="31">
        <f>MIN(AU$5,AA217+AK218)</f>
        <v>0.0</v>
      </c>
    </row>
    <row r="219">
      <c r="A219" s="25" t="str">
        <f>IF(F218&gt;0.005,214,"")</f>
        <v/>
      </c>
      <c r="B219" s="33" t="str">
        <f>IF(A219="","",EDATE(Долги!$D$5,213))</f>
        <v/>
      </c>
      <c r="C219" s="31">
        <f>SUM(H219:Q219)</f>
        <v>0.0</v>
      </c>
      <c r="D219" s="31">
        <f>SUM(AB219:AK219)</f>
        <v>0.0</v>
      </c>
      <c r="E219" s="31">
        <f>C219-D219</f>
        <v>0.0</v>
      </c>
      <c r="F219" s="31">
        <f>SUM(R219:AA219)</f>
        <v>0.0</v>
      </c>
      <c r="G219" s="34" t="str">
        <f>IF(OR(A219="",$F$5&lt;=0),"",REPT("█",ROUND(20*F219/$F$5,0)))</f>
        <v/>
      </c>
      <c r="H219" s="31">
        <f>AL219+MIN(R218+AB219-AL219,MAX(0,ROUND(Долги!$D$19-SUM($AL219:$AU219),2)))</f>
        <v>0.0</v>
      </c>
      <c r="I219" s="31">
        <f>AM219+MIN(S218+AC219-AM219,MAX(0,ROUND(ROUND(Долги!$D$19-SUM($AL219:$AU219),2)-(SUM($H219:H219)-SUM($AL219:AL219)),2)))</f>
        <v>0.0</v>
      </c>
      <c r="J219" s="31">
        <f>AN219+MIN(T218+AD219-AN219,MAX(0,ROUND(ROUND(Долги!$D$19-SUM($AL219:$AU219),2)-(SUM($H219:I219)-SUM($AL219:AM219)),2)))</f>
        <v>0.0</v>
      </c>
      <c r="K219" s="31">
        <f>AO219+MIN(U218+AE219-AO219,MAX(0,ROUND(ROUND(Долги!$D$19-SUM($AL219:$AU219),2)-(SUM($H219:J219)-SUM($AL219:AN219)),2)))</f>
        <v>0.0</v>
      </c>
      <c r="L219" s="31">
        <f>AP219+MIN(V218+AF219-AP219,MAX(0,ROUND(ROUND(Долги!$D$19-SUM($AL219:$AU219),2)-(SUM($H219:K219)-SUM($AL219:AO219)),2)))</f>
        <v>0.0</v>
      </c>
      <c r="M219" s="31">
        <f>AQ219+MIN(W218+AG219-AQ219,MAX(0,ROUND(ROUND(Долги!$D$19-SUM($AL219:$AU219),2)-(SUM($H219:L219)-SUM($AL219:AP219)),2)))</f>
        <v>0.0</v>
      </c>
      <c r="N219" s="31">
        <f>AR219+MIN(X218+AH219-AR219,MAX(0,ROUND(ROUND(Долги!$D$19-SUM($AL219:$AU219),2)-(SUM($H219:M219)-SUM($AL219:AQ219)),2)))</f>
        <v>0.0</v>
      </c>
      <c r="O219" s="31">
        <f>AS219+MIN(Y218+AI219-AS219,MAX(0,ROUND(ROUND(Долги!$D$19-SUM($AL219:$AU219),2)-(SUM($H219:N219)-SUM($AL219:AR219)),2)))</f>
        <v>0.0</v>
      </c>
      <c r="P219" s="31">
        <f>AT219+MIN(Z218+AJ219-AT219,MAX(0,ROUND(ROUND(Долги!$D$19-SUM($AL219:$AU219),2)-(SUM($H219:O219)-SUM($AL219:AS219)),2)))</f>
        <v>0.0</v>
      </c>
      <c r="Q219" s="31">
        <f>AU219+MIN(AA218+AK219-AU219,MAX(0,ROUND(ROUND(Долги!$D$19-SUM($AL219:$AU219),2)-(SUM($H219:P219)-SUM($AL219:AT219)),2)))</f>
        <v>0.0</v>
      </c>
      <c r="R219" s="31">
        <f>IF(R218+AB219-H219&lt;=0.01,0,ROUND(R218+AB219-H219,2))</f>
        <v>0.0</v>
      </c>
      <c r="S219" s="31">
        <f>IF(S218+AC219-I219&lt;=0.01,0,ROUND(S218+AC219-I219,2))</f>
        <v>0.0</v>
      </c>
      <c r="T219" s="31">
        <f>IF(T218+AD219-J219&lt;=0.01,0,ROUND(T218+AD219-J219,2))</f>
        <v>0.0</v>
      </c>
      <c r="U219" s="31">
        <f>IF(U218+AE219-K219&lt;=0.01,0,ROUND(U218+AE219-K219,2))</f>
        <v>0.0</v>
      </c>
      <c r="V219" s="31">
        <f>IF(V218+AF219-L219&lt;=0.01,0,ROUND(V218+AF219-L219,2))</f>
        <v>0.0</v>
      </c>
      <c r="W219" s="31">
        <f>IF(W218+AG219-M219&lt;=0.01,0,ROUND(W218+AG219-M219,2))</f>
        <v>0.0</v>
      </c>
      <c r="X219" s="31">
        <f>IF(X218+AH219-N219&lt;=0.01,0,ROUND(X218+AH219-N219,2))</f>
        <v>0.0</v>
      </c>
      <c r="Y219" s="31">
        <f>IF(Y218+AI219-O219&lt;=0.01,0,ROUND(Y218+AI219-O219,2))</f>
        <v>0.0</v>
      </c>
      <c r="Z219" s="31">
        <f>IF(Z218+AJ219-P219&lt;=0.01,0,ROUND(Z218+AJ219-P219,2))</f>
        <v>0.0</v>
      </c>
      <c r="AA219" s="31">
        <f>IF(AA218+AK219-Q219&lt;=0.01,0,ROUND(AA218+AK219-Q219,2))</f>
        <v>0.0</v>
      </c>
      <c r="AB219" s="31">
        <f>ROUND(R218*AB$5/1200,2)</f>
        <v>0.0</v>
      </c>
      <c r="AC219" s="31">
        <f>ROUND(S218*AC$5/1200,2)</f>
        <v>0.0</v>
      </c>
      <c r="AD219" s="31">
        <f>ROUND(T218*AD$5/1200,2)</f>
        <v>0.0</v>
      </c>
      <c r="AE219" s="31">
        <f>ROUND(U218*AE$5/1200,2)</f>
        <v>0.0</v>
      </c>
      <c r="AF219" s="31">
        <f>ROUND(V218*AF$5/1200,2)</f>
        <v>0.0</v>
      </c>
      <c r="AG219" s="31">
        <f>ROUND(W218*AG$5/1200,2)</f>
        <v>0.0</v>
      </c>
      <c r="AH219" s="31">
        <f>ROUND(X218*AH$5/1200,2)</f>
        <v>0.0</v>
      </c>
      <c r="AI219" s="31">
        <f>ROUND(Y218*AI$5/1200,2)</f>
        <v>0.0</v>
      </c>
      <c r="AJ219" s="31">
        <f>ROUND(Z218*AJ$5/1200,2)</f>
        <v>0.0</v>
      </c>
      <c r="AK219" s="31">
        <f>ROUND(AA218*AK$5/1200,2)</f>
        <v>0.0</v>
      </c>
      <c r="AL219" s="31">
        <f>MIN(AL$5,R218+AB219)</f>
        <v>0.0</v>
      </c>
      <c r="AM219" s="31">
        <f>MIN(AM$5,S218+AC219)</f>
        <v>0.0</v>
      </c>
      <c r="AN219" s="31">
        <f>MIN(AN$5,T218+AD219)</f>
        <v>0.0</v>
      </c>
      <c r="AO219" s="31">
        <f>MIN(AO$5,U218+AE219)</f>
        <v>0.0</v>
      </c>
      <c r="AP219" s="31">
        <f>MIN(AP$5,V218+AF219)</f>
        <v>0.0</v>
      </c>
      <c r="AQ219" s="31">
        <f>MIN(AQ$5,W218+AG219)</f>
        <v>0.0</v>
      </c>
      <c r="AR219" s="31">
        <f>MIN(AR$5,X218+AH219)</f>
        <v>0.0</v>
      </c>
      <c r="AS219" s="31">
        <f>MIN(AS$5,Y218+AI219)</f>
        <v>0.0</v>
      </c>
      <c r="AT219" s="31">
        <f>MIN(AT$5,Z218+AJ219)</f>
        <v>0.0</v>
      </c>
      <c r="AU219" s="31">
        <f>MIN(AU$5,AA218+AK219)</f>
        <v>0.0</v>
      </c>
    </row>
    <row r="220">
      <c r="A220" s="25" t="str">
        <f>IF(F219&gt;0.005,215,"")</f>
        <v/>
      </c>
      <c r="B220" s="33" t="str">
        <f>IF(A220="","",EDATE(Долги!$D$5,214))</f>
        <v/>
      </c>
      <c r="C220" s="31">
        <f>SUM(H220:Q220)</f>
        <v>0.0</v>
      </c>
      <c r="D220" s="31">
        <f>SUM(AB220:AK220)</f>
        <v>0.0</v>
      </c>
      <c r="E220" s="31">
        <f>C220-D220</f>
        <v>0.0</v>
      </c>
      <c r="F220" s="31">
        <f>SUM(R220:AA220)</f>
        <v>0.0</v>
      </c>
      <c r="G220" s="34" t="str">
        <f>IF(OR(A220="",$F$5&lt;=0),"",REPT("█",ROUND(20*F220/$F$5,0)))</f>
        <v/>
      </c>
      <c r="H220" s="31">
        <f>AL220+MIN(R219+AB220-AL220,MAX(0,ROUND(Долги!$D$19-SUM($AL220:$AU220),2)))</f>
        <v>0.0</v>
      </c>
      <c r="I220" s="31">
        <f>AM220+MIN(S219+AC220-AM220,MAX(0,ROUND(ROUND(Долги!$D$19-SUM($AL220:$AU220),2)-(SUM($H220:H220)-SUM($AL220:AL220)),2)))</f>
        <v>0.0</v>
      </c>
      <c r="J220" s="31">
        <f>AN220+MIN(T219+AD220-AN220,MAX(0,ROUND(ROUND(Долги!$D$19-SUM($AL220:$AU220),2)-(SUM($H220:I220)-SUM($AL220:AM220)),2)))</f>
        <v>0.0</v>
      </c>
      <c r="K220" s="31">
        <f>AO220+MIN(U219+AE220-AO220,MAX(0,ROUND(ROUND(Долги!$D$19-SUM($AL220:$AU220),2)-(SUM($H220:J220)-SUM($AL220:AN220)),2)))</f>
        <v>0.0</v>
      </c>
      <c r="L220" s="31">
        <f>AP220+MIN(V219+AF220-AP220,MAX(0,ROUND(ROUND(Долги!$D$19-SUM($AL220:$AU220),2)-(SUM($H220:K220)-SUM($AL220:AO220)),2)))</f>
        <v>0.0</v>
      </c>
      <c r="M220" s="31">
        <f>AQ220+MIN(W219+AG220-AQ220,MAX(0,ROUND(ROUND(Долги!$D$19-SUM($AL220:$AU220),2)-(SUM($H220:L220)-SUM($AL220:AP220)),2)))</f>
        <v>0.0</v>
      </c>
      <c r="N220" s="31">
        <f>AR220+MIN(X219+AH220-AR220,MAX(0,ROUND(ROUND(Долги!$D$19-SUM($AL220:$AU220),2)-(SUM($H220:M220)-SUM($AL220:AQ220)),2)))</f>
        <v>0.0</v>
      </c>
      <c r="O220" s="31">
        <f>AS220+MIN(Y219+AI220-AS220,MAX(0,ROUND(ROUND(Долги!$D$19-SUM($AL220:$AU220),2)-(SUM($H220:N220)-SUM($AL220:AR220)),2)))</f>
        <v>0.0</v>
      </c>
      <c r="P220" s="31">
        <f>AT220+MIN(Z219+AJ220-AT220,MAX(0,ROUND(ROUND(Долги!$D$19-SUM($AL220:$AU220),2)-(SUM($H220:O220)-SUM($AL220:AS220)),2)))</f>
        <v>0.0</v>
      </c>
      <c r="Q220" s="31">
        <f>AU220+MIN(AA219+AK220-AU220,MAX(0,ROUND(ROUND(Долги!$D$19-SUM($AL220:$AU220),2)-(SUM($H220:P220)-SUM($AL220:AT220)),2)))</f>
        <v>0.0</v>
      </c>
      <c r="R220" s="31">
        <f>IF(R219+AB220-H220&lt;=0.01,0,ROUND(R219+AB220-H220,2))</f>
        <v>0.0</v>
      </c>
      <c r="S220" s="31">
        <f>IF(S219+AC220-I220&lt;=0.01,0,ROUND(S219+AC220-I220,2))</f>
        <v>0.0</v>
      </c>
      <c r="T220" s="31">
        <f>IF(T219+AD220-J220&lt;=0.01,0,ROUND(T219+AD220-J220,2))</f>
        <v>0.0</v>
      </c>
      <c r="U220" s="31">
        <f>IF(U219+AE220-K220&lt;=0.01,0,ROUND(U219+AE220-K220,2))</f>
        <v>0.0</v>
      </c>
      <c r="V220" s="31">
        <f>IF(V219+AF220-L220&lt;=0.01,0,ROUND(V219+AF220-L220,2))</f>
        <v>0.0</v>
      </c>
      <c r="W220" s="31">
        <f>IF(W219+AG220-M220&lt;=0.01,0,ROUND(W219+AG220-M220,2))</f>
        <v>0.0</v>
      </c>
      <c r="X220" s="31">
        <f>IF(X219+AH220-N220&lt;=0.01,0,ROUND(X219+AH220-N220,2))</f>
        <v>0.0</v>
      </c>
      <c r="Y220" s="31">
        <f>IF(Y219+AI220-O220&lt;=0.01,0,ROUND(Y219+AI220-O220,2))</f>
        <v>0.0</v>
      </c>
      <c r="Z220" s="31">
        <f>IF(Z219+AJ220-P220&lt;=0.01,0,ROUND(Z219+AJ220-P220,2))</f>
        <v>0.0</v>
      </c>
      <c r="AA220" s="31">
        <f>IF(AA219+AK220-Q220&lt;=0.01,0,ROUND(AA219+AK220-Q220,2))</f>
        <v>0.0</v>
      </c>
      <c r="AB220" s="31">
        <f>ROUND(R219*AB$5/1200,2)</f>
        <v>0.0</v>
      </c>
      <c r="AC220" s="31">
        <f>ROUND(S219*AC$5/1200,2)</f>
        <v>0.0</v>
      </c>
      <c r="AD220" s="31">
        <f>ROUND(T219*AD$5/1200,2)</f>
        <v>0.0</v>
      </c>
      <c r="AE220" s="31">
        <f>ROUND(U219*AE$5/1200,2)</f>
        <v>0.0</v>
      </c>
      <c r="AF220" s="31">
        <f>ROUND(V219*AF$5/1200,2)</f>
        <v>0.0</v>
      </c>
      <c r="AG220" s="31">
        <f>ROUND(W219*AG$5/1200,2)</f>
        <v>0.0</v>
      </c>
      <c r="AH220" s="31">
        <f>ROUND(X219*AH$5/1200,2)</f>
        <v>0.0</v>
      </c>
      <c r="AI220" s="31">
        <f>ROUND(Y219*AI$5/1200,2)</f>
        <v>0.0</v>
      </c>
      <c r="AJ220" s="31">
        <f>ROUND(Z219*AJ$5/1200,2)</f>
        <v>0.0</v>
      </c>
      <c r="AK220" s="31">
        <f>ROUND(AA219*AK$5/1200,2)</f>
        <v>0.0</v>
      </c>
      <c r="AL220" s="31">
        <f>MIN(AL$5,R219+AB220)</f>
        <v>0.0</v>
      </c>
      <c r="AM220" s="31">
        <f>MIN(AM$5,S219+AC220)</f>
        <v>0.0</v>
      </c>
      <c r="AN220" s="31">
        <f>MIN(AN$5,T219+AD220)</f>
        <v>0.0</v>
      </c>
      <c r="AO220" s="31">
        <f>MIN(AO$5,U219+AE220)</f>
        <v>0.0</v>
      </c>
      <c r="AP220" s="31">
        <f>MIN(AP$5,V219+AF220)</f>
        <v>0.0</v>
      </c>
      <c r="AQ220" s="31">
        <f>MIN(AQ$5,W219+AG220)</f>
        <v>0.0</v>
      </c>
      <c r="AR220" s="31">
        <f>MIN(AR$5,X219+AH220)</f>
        <v>0.0</v>
      </c>
      <c r="AS220" s="31">
        <f>MIN(AS$5,Y219+AI220)</f>
        <v>0.0</v>
      </c>
      <c r="AT220" s="31">
        <f>MIN(AT$5,Z219+AJ220)</f>
        <v>0.0</v>
      </c>
      <c r="AU220" s="31">
        <f>MIN(AU$5,AA219+AK220)</f>
        <v>0.0</v>
      </c>
    </row>
    <row r="221">
      <c r="A221" s="25" t="str">
        <f>IF(F220&gt;0.005,216,"")</f>
        <v/>
      </c>
      <c r="B221" s="33" t="str">
        <f>IF(A221="","",EDATE(Долги!$D$5,215))</f>
        <v/>
      </c>
      <c r="C221" s="31">
        <f>SUM(H221:Q221)</f>
        <v>0.0</v>
      </c>
      <c r="D221" s="31">
        <f>SUM(AB221:AK221)</f>
        <v>0.0</v>
      </c>
      <c r="E221" s="31">
        <f>C221-D221</f>
        <v>0.0</v>
      </c>
      <c r="F221" s="31">
        <f>SUM(R221:AA221)</f>
        <v>0.0</v>
      </c>
      <c r="G221" s="34" t="str">
        <f>IF(OR(A221="",$F$5&lt;=0),"",REPT("█",ROUND(20*F221/$F$5,0)))</f>
        <v/>
      </c>
      <c r="H221" s="31">
        <f>AL221+MIN(R220+AB221-AL221,MAX(0,ROUND(Долги!$D$19-SUM($AL221:$AU221),2)))</f>
        <v>0.0</v>
      </c>
      <c r="I221" s="31">
        <f>AM221+MIN(S220+AC221-AM221,MAX(0,ROUND(ROUND(Долги!$D$19-SUM($AL221:$AU221),2)-(SUM($H221:H221)-SUM($AL221:AL221)),2)))</f>
        <v>0.0</v>
      </c>
      <c r="J221" s="31">
        <f>AN221+MIN(T220+AD221-AN221,MAX(0,ROUND(ROUND(Долги!$D$19-SUM($AL221:$AU221),2)-(SUM($H221:I221)-SUM($AL221:AM221)),2)))</f>
        <v>0.0</v>
      </c>
      <c r="K221" s="31">
        <f>AO221+MIN(U220+AE221-AO221,MAX(0,ROUND(ROUND(Долги!$D$19-SUM($AL221:$AU221),2)-(SUM($H221:J221)-SUM($AL221:AN221)),2)))</f>
        <v>0.0</v>
      </c>
      <c r="L221" s="31">
        <f>AP221+MIN(V220+AF221-AP221,MAX(0,ROUND(ROUND(Долги!$D$19-SUM($AL221:$AU221),2)-(SUM($H221:K221)-SUM($AL221:AO221)),2)))</f>
        <v>0.0</v>
      </c>
      <c r="M221" s="31">
        <f>AQ221+MIN(W220+AG221-AQ221,MAX(0,ROUND(ROUND(Долги!$D$19-SUM($AL221:$AU221),2)-(SUM($H221:L221)-SUM($AL221:AP221)),2)))</f>
        <v>0.0</v>
      </c>
      <c r="N221" s="31">
        <f>AR221+MIN(X220+AH221-AR221,MAX(0,ROUND(ROUND(Долги!$D$19-SUM($AL221:$AU221),2)-(SUM($H221:M221)-SUM($AL221:AQ221)),2)))</f>
        <v>0.0</v>
      </c>
      <c r="O221" s="31">
        <f>AS221+MIN(Y220+AI221-AS221,MAX(0,ROUND(ROUND(Долги!$D$19-SUM($AL221:$AU221),2)-(SUM($H221:N221)-SUM($AL221:AR221)),2)))</f>
        <v>0.0</v>
      </c>
      <c r="P221" s="31">
        <f>AT221+MIN(Z220+AJ221-AT221,MAX(0,ROUND(ROUND(Долги!$D$19-SUM($AL221:$AU221),2)-(SUM($H221:O221)-SUM($AL221:AS221)),2)))</f>
        <v>0.0</v>
      </c>
      <c r="Q221" s="31">
        <f>AU221+MIN(AA220+AK221-AU221,MAX(0,ROUND(ROUND(Долги!$D$19-SUM($AL221:$AU221),2)-(SUM($H221:P221)-SUM($AL221:AT221)),2)))</f>
        <v>0.0</v>
      </c>
      <c r="R221" s="31">
        <f>IF(R220+AB221-H221&lt;=0.01,0,ROUND(R220+AB221-H221,2))</f>
        <v>0.0</v>
      </c>
      <c r="S221" s="31">
        <f>IF(S220+AC221-I221&lt;=0.01,0,ROUND(S220+AC221-I221,2))</f>
        <v>0.0</v>
      </c>
      <c r="T221" s="31">
        <f>IF(T220+AD221-J221&lt;=0.01,0,ROUND(T220+AD221-J221,2))</f>
        <v>0.0</v>
      </c>
      <c r="U221" s="31">
        <f>IF(U220+AE221-K221&lt;=0.01,0,ROUND(U220+AE221-K221,2))</f>
        <v>0.0</v>
      </c>
      <c r="V221" s="31">
        <f>IF(V220+AF221-L221&lt;=0.01,0,ROUND(V220+AF221-L221,2))</f>
        <v>0.0</v>
      </c>
      <c r="W221" s="31">
        <f>IF(W220+AG221-M221&lt;=0.01,0,ROUND(W220+AG221-M221,2))</f>
        <v>0.0</v>
      </c>
      <c r="X221" s="31">
        <f>IF(X220+AH221-N221&lt;=0.01,0,ROUND(X220+AH221-N221,2))</f>
        <v>0.0</v>
      </c>
      <c r="Y221" s="31">
        <f>IF(Y220+AI221-O221&lt;=0.01,0,ROUND(Y220+AI221-O221,2))</f>
        <v>0.0</v>
      </c>
      <c r="Z221" s="31">
        <f>IF(Z220+AJ221-P221&lt;=0.01,0,ROUND(Z220+AJ221-P221,2))</f>
        <v>0.0</v>
      </c>
      <c r="AA221" s="31">
        <f>IF(AA220+AK221-Q221&lt;=0.01,0,ROUND(AA220+AK221-Q221,2))</f>
        <v>0.0</v>
      </c>
      <c r="AB221" s="31">
        <f>ROUND(R220*AB$5/1200,2)</f>
        <v>0.0</v>
      </c>
      <c r="AC221" s="31">
        <f>ROUND(S220*AC$5/1200,2)</f>
        <v>0.0</v>
      </c>
      <c r="AD221" s="31">
        <f>ROUND(T220*AD$5/1200,2)</f>
        <v>0.0</v>
      </c>
      <c r="AE221" s="31">
        <f>ROUND(U220*AE$5/1200,2)</f>
        <v>0.0</v>
      </c>
      <c r="AF221" s="31">
        <f>ROUND(V220*AF$5/1200,2)</f>
        <v>0.0</v>
      </c>
      <c r="AG221" s="31">
        <f>ROUND(W220*AG$5/1200,2)</f>
        <v>0.0</v>
      </c>
      <c r="AH221" s="31">
        <f>ROUND(X220*AH$5/1200,2)</f>
        <v>0.0</v>
      </c>
      <c r="AI221" s="31">
        <f>ROUND(Y220*AI$5/1200,2)</f>
        <v>0.0</v>
      </c>
      <c r="AJ221" s="31">
        <f>ROUND(Z220*AJ$5/1200,2)</f>
        <v>0.0</v>
      </c>
      <c r="AK221" s="31">
        <f>ROUND(AA220*AK$5/1200,2)</f>
        <v>0.0</v>
      </c>
      <c r="AL221" s="31">
        <f>MIN(AL$5,R220+AB221)</f>
        <v>0.0</v>
      </c>
      <c r="AM221" s="31">
        <f>MIN(AM$5,S220+AC221)</f>
        <v>0.0</v>
      </c>
      <c r="AN221" s="31">
        <f>MIN(AN$5,T220+AD221)</f>
        <v>0.0</v>
      </c>
      <c r="AO221" s="31">
        <f>MIN(AO$5,U220+AE221)</f>
        <v>0.0</v>
      </c>
      <c r="AP221" s="31">
        <f>MIN(AP$5,V220+AF221)</f>
        <v>0.0</v>
      </c>
      <c r="AQ221" s="31">
        <f>MIN(AQ$5,W220+AG221)</f>
        <v>0.0</v>
      </c>
      <c r="AR221" s="31">
        <f>MIN(AR$5,X220+AH221)</f>
        <v>0.0</v>
      </c>
      <c r="AS221" s="31">
        <f>MIN(AS$5,Y220+AI221)</f>
        <v>0.0</v>
      </c>
      <c r="AT221" s="31">
        <f>MIN(AT$5,Z220+AJ221)</f>
        <v>0.0</v>
      </c>
      <c r="AU221" s="31">
        <f>MIN(AU$5,AA220+AK221)</f>
        <v>0.0</v>
      </c>
    </row>
    <row r="222">
      <c r="A222" s="25" t="str">
        <f>IF(F221&gt;0.005,217,"")</f>
        <v/>
      </c>
      <c r="B222" s="33" t="str">
        <f>IF(A222="","",EDATE(Долги!$D$5,216))</f>
        <v/>
      </c>
      <c r="C222" s="31">
        <f>SUM(H222:Q222)</f>
        <v>0.0</v>
      </c>
      <c r="D222" s="31">
        <f>SUM(AB222:AK222)</f>
        <v>0.0</v>
      </c>
      <c r="E222" s="31">
        <f>C222-D222</f>
        <v>0.0</v>
      </c>
      <c r="F222" s="31">
        <f>SUM(R222:AA222)</f>
        <v>0.0</v>
      </c>
      <c r="G222" s="34" t="str">
        <f>IF(OR(A222="",$F$5&lt;=0),"",REPT("█",ROUND(20*F222/$F$5,0)))</f>
        <v/>
      </c>
      <c r="H222" s="31">
        <f>AL222+MIN(R221+AB222-AL222,MAX(0,ROUND(Долги!$D$19-SUM($AL222:$AU222),2)))</f>
        <v>0.0</v>
      </c>
      <c r="I222" s="31">
        <f>AM222+MIN(S221+AC222-AM222,MAX(0,ROUND(ROUND(Долги!$D$19-SUM($AL222:$AU222),2)-(SUM($H222:H222)-SUM($AL222:AL222)),2)))</f>
        <v>0.0</v>
      </c>
      <c r="J222" s="31">
        <f>AN222+MIN(T221+AD222-AN222,MAX(0,ROUND(ROUND(Долги!$D$19-SUM($AL222:$AU222),2)-(SUM($H222:I222)-SUM($AL222:AM222)),2)))</f>
        <v>0.0</v>
      </c>
      <c r="K222" s="31">
        <f>AO222+MIN(U221+AE222-AO222,MAX(0,ROUND(ROUND(Долги!$D$19-SUM($AL222:$AU222),2)-(SUM($H222:J222)-SUM($AL222:AN222)),2)))</f>
        <v>0.0</v>
      </c>
      <c r="L222" s="31">
        <f>AP222+MIN(V221+AF222-AP222,MAX(0,ROUND(ROUND(Долги!$D$19-SUM($AL222:$AU222),2)-(SUM($H222:K222)-SUM($AL222:AO222)),2)))</f>
        <v>0.0</v>
      </c>
      <c r="M222" s="31">
        <f>AQ222+MIN(W221+AG222-AQ222,MAX(0,ROUND(ROUND(Долги!$D$19-SUM($AL222:$AU222),2)-(SUM($H222:L222)-SUM($AL222:AP222)),2)))</f>
        <v>0.0</v>
      </c>
      <c r="N222" s="31">
        <f>AR222+MIN(X221+AH222-AR222,MAX(0,ROUND(ROUND(Долги!$D$19-SUM($AL222:$AU222),2)-(SUM($H222:M222)-SUM($AL222:AQ222)),2)))</f>
        <v>0.0</v>
      </c>
      <c r="O222" s="31">
        <f>AS222+MIN(Y221+AI222-AS222,MAX(0,ROUND(ROUND(Долги!$D$19-SUM($AL222:$AU222),2)-(SUM($H222:N222)-SUM($AL222:AR222)),2)))</f>
        <v>0.0</v>
      </c>
      <c r="P222" s="31">
        <f>AT222+MIN(Z221+AJ222-AT222,MAX(0,ROUND(ROUND(Долги!$D$19-SUM($AL222:$AU222),2)-(SUM($H222:O222)-SUM($AL222:AS222)),2)))</f>
        <v>0.0</v>
      </c>
      <c r="Q222" s="31">
        <f>AU222+MIN(AA221+AK222-AU222,MAX(0,ROUND(ROUND(Долги!$D$19-SUM($AL222:$AU222),2)-(SUM($H222:P222)-SUM($AL222:AT222)),2)))</f>
        <v>0.0</v>
      </c>
      <c r="R222" s="31">
        <f>IF(R221+AB222-H222&lt;=0.01,0,ROUND(R221+AB222-H222,2))</f>
        <v>0.0</v>
      </c>
      <c r="S222" s="31">
        <f>IF(S221+AC222-I222&lt;=0.01,0,ROUND(S221+AC222-I222,2))</f>
        <v>0.0</v>
      </c>
      <c r="T222" s="31">
        <f>IF(T221+AD222-J222&lt;=0.01,0,ROUND(T221+AD222-J222,2))</f>
        <v>0.0</v>
      </c>
      <c r="U222" s="31">
        <f>IF(U221+AE222-K222&lt;=0.01,0,ROUND(U221+AE222-K222,2))</f>
        <v>0.0</v>
      </c>
      <c r="V222" s="31">
        <f>IF(V221+AF222-L222&lt;=0.01,0,ROUND(V221+AF222-L222,2))</f>
        <v>0.0</v>
      </c>
      <c r="W222" s="31">
        <f>IF(W221+AG222-M222&lt;=0.01,0,ROUND(W221+AG222-M222,2))</f>
        <v>0.0</v>
      </c>
      <c r="X222" s="31">
        <f>IF(X221+AH222-N222&lt;=0.01,0,ROUND(X221+AH222-N222,2))</f>
        <v>0.0</v>
      </c>
      <c r="Y222" s="31">
        <f>IF(Y221+AI222-O222&lt;=0.01,0,ROUND(Y221+AI222-O222,2))</f>
        <v>0.0</v>
      </c>
      <c r="Z222" s="31">
        <f>IF(Z221+AJ222-P222&lt;=0.01,0,ROUND(Z221+AJ222-P222,2))</f>
        <v>0.0</v>
      </c>
      <c r="AA222" s="31">
        <f>IF(AA221+AK222-Q222&lt;=0.01,0,ROUND(AA221+AK222-Q222,2))</f>
        <v>0.0</v>
      </c>
      <c r="AB222" s="31">
        <f>ROUND(R221*AB$5/1200,2)</f>
        <v>0.0</v>
      </c>
      <c r="AC222" s="31">
        <f>ROUND(S221*AC$5/1200,2)</f>
        <v>0.0</v>
      </c>
      <c r="AD222" s="31">
        <f>ROUND(T221*AD$5/1200,2)</f>
        <v>0.0</v>
      </c>
      <c r="AE222" s="31">
        <f>ROUND(U221*AE$5/1200,2)</f>
        <v>0.0</v>
      </c>
      <c r="AF222" s="31">
        <f>ROUND(V221*AF$5/1200,2)</f>
        <v>0.0</v>
      </c>
      <c r="AG222" s="31">
        <f>ROUND(W221*AG$5/1200,2)</f>
        <v>0.0</v>
      </c>
      <c r="AH222" s="31">
        <f>ROUND(X221*AH$5/1200,2)</f>
        <v>0.0</v>
      </c>
      <c r="AI222" s="31">
        <f>ROUND(Y221*AI$5/1200,2)</f>
        <v>0.0</v>
      </c>
      <c r="AJ222" s="31">
        <f>ROUND(Z221*AJ$5/1200,2)</f>
        <v>0.0</v>
      </c>
      <c r="AK222" s="31">
        <f>ROUND(AA221*AK$5/1200,2)</f>
        <v>0.0</v>
      </c>
      <c r="AL222" s="31">
        <f>MIN(AL$5,R221+AB222)</f>
        <v>0.0</v>
      </c>
      <c r="AM222" s="31">
        <f>MIN(AM$5,S221+AC222)</f>
        <v>0.0</v>
      </c>
      <c r="AN222" s="31">
        <f>MIN(AN$5,T221+AD222)</f>
        <v>0.0</v>
      </c>
      <c r="AO222" s="31">
        <f>MIN(AO$5,U221+AE222)</f>
        <v>0.0</v>
      </c>
      <c r="AP222" s="31">
        <f>MIN(AP$5,V221+AF222)</f>
        <v>0.0</v>
      </c>
      <c r="AQ222" s="31">
        <f>MIN(AQ$5,W221+AG222)</f>
        <v>0.0</v>
      </c>
      <c r="AR222" s="31">
        <f>MIN(AR$5,X221+AH222)</f>
        <v>0.0</v>
      </c>
      <c r="AS222" s="31">
        <f>MIN(AS$5,Y221+AI222)</f>
        <v>0.0</v>
      </c>
      <c r="AT222" s="31">
        <f>MIN(AT$5,Z221+AJ222)</f>
        <v>0.0</v>
      </c>
      <c r="AU222" s="31">
        <f>MIN(AU$5,AA221+AK222)</f>
        <v>0.0</v>
      </c>
    </row>
    <row r="223">
      <c r="A223" s="25" t="str">
        <f>IF(F222&gt;0.005,218,"")</f>
        <v/>
      </c>
      <c r="B223" s="33" t="str">
        <f>IF(A223="","",EDATE(Долги!$D$5,217))</f>
        <v/>
      </c>
      <c r="C223" s="31">
        <f>SUM(H223:Q223)</f>
        <v>0.0</v>
      </c>
      <c r="D223" s="31">
        <f>SUM(AB223:AK223)</f>
        <v>0.0</v>
      </c>
      <c r="E223" s="31">
        <f>C223-D223</f>
        <v>0.0</v>
      </c>
      <c r="F223" s="31">
        <f>SUM(R223:AA223)</f>
        <v>0.0</v>
      </c>
      <c r="G223" s="34" t="str">
        <f>IF(OR(A223="",$F$5&lt;=0),"",REPT("█",ROUND(20*F223/$F$5,0)))</f>
        <v/>
      </c>
      <c r="H223" s="31">
        <f>AL223+MIN(R222+AB223-AL223,MAX(0,ROUND(Долги!$D$19-SUM($AL223:$AU223),2)))</f>
        <v>0.0</v>
      </c>
      <c r="I223" s="31">
        <f>AM223+MIN(S222+AC223-AM223,MAX(0,ROUND(ROUND(Долги!$D$19-SUM($AL223:$AU223),2)-(SUM($H223:H223)-SUM($AL223:AL223)),2)))</f>
        <v>0.0</v>
      </c>
      <c r="J223" s="31">
        <f>AN223+MIN(T222+AD223-AN223,MAX(0,ROUND(ROUND(Долги!$D$19-SUM($AL223:$AU223),2)-(SUM($H223:I223)-SUM($AL223:AM223)),2)))</f>
        <v>0.0</v>
      </c>
      <c r="K223" s="31">
        <f>AO223+MIN(U222+AE223-AO223,MAX(0,ROUND(ROUND(Долги!$D$19-SUM($AL223:$AU223),2)-(SUM($H223:J223)-SUM($AL223:AN223)),2)))</f>
        <v>0.0</v>
      </c>
      <c r="L223" s="31">
        <f>AP223+MIN(V222+AF223-AP223,MAX(0,ROUND(ROUND(Долги!$D$19-SUM($AL223:$AU223),2)-(SUM($H223:K223)-SUM($AL223:AO223)),2)))</f>
        <v>0.0</v>
      </c>
      <c r="M223" s="31">
        <f>AQ223+MIN(W222+AG223-AQ223,MAX(0,ROUND(ROUND(Долги!$D$19-SUM($AL223:$AU223),2)-(SUM($H223:L223)-SUM($AL223:AP223)),2)))</f>
        <v>0.0</v>
      </c>
      <c r="N223" s="31">
        <f>AR223+MIN(X222+AH223-AR223,MAX(0,ROUND(ROUND(Долги!$D$19-SUM($AL223:$AU223),2)-(SUM($H223:M223)-SUM($AL223:AQ223)),2)))</f>
        <v>0.0</v>
      </c>
      <c r="O223" s="31">
        <f>AS223+MIN(Y222+AI223-AS223,MAX(0,ROUND(ROUND(Долги!$D$19-SUM($AL223:$AU223),2)-(SUM($H223:N223)-SUM($AL223:AR223)),2)))</f>
        <v>0.0</v>
      </c>
      <c r="P223" s="31">
        <f>AT223+MIN(Z222+AJ223-AT223,MAX(0,ROUND(ROUND(Долги!$D$19-SUM($AL223:$AU223),2)-(SUM($H223:O223)-SUM($AL223:AS223)),2)))</f>
        <v>0.0</v>
      </c>
      <c r="Q223" s="31">
        <f>AU223+MIN(AA222+AK223-AU223,MAX(0,ROUND(ROUND(Долги!$D$19-SUM($AL223:$AU223),2)-(SUM($H223:P223)-SUM($AL223:AT223)),2)))</f>
        <v>0.0</v>
      </c>
      <c r="R223" s="31">
        <f>IF(R222+AB223-H223&lt;=0.01,0,ROUND(R222+AB223-H223,2))</f>
        <v>0.0</v>
      </c>
      <c r="S223" s="31">
        <f>IF(S222+AC223-I223&lt;=0.01,0,ROUND(S222+AC223-I223,2))</f>
        <v>0.0</v>
      </c>
      <c r="T223" s="31">
        <f>IF(T222+AD223-J223&lt;=0.01,0,ROUND(T222+AD223-J223,2))</f>
        <v>0.0</v>
      </c>
      <c r="U223" s="31">
        <f>IF(U222+AE223-K223&lt;=0.01,0,ROUND(U222+AE223-K223,2))</f>
        <v>0.0</v>
      </c>
      <c r="V223" s="31">
        <f>IF(V222+AF223-L223&lt;=0.01,0,ROUND(V222+AF223-L223,2))</f>
        <v>0.0</v>
      </c>
      <c r="W223" s="31">
        <f>IF(W222+AG223-M223&lt;=0.01,0,ROUND(W222+AG223-M223,2))</f>
        <v>0.0</v>
      </c>
      <c r="X223" s="31">
        <f>IF(X222+AH223-N223&lt;=0.01,0,ROUND(X222+AH223-N223,2))</f>
        <v>0.0</v>
      </c>
      <c r="Y223" s="31">
        <f>IF(Y222+AI223-O223&lt;=0.01,0,ROUND(Y222+AI223-O223,2))</f>
        <v>0.0</v>
      </c>
      <c r="Z223" s="31">
        <f>IF(Z222+AJ223-P223&lt;=0.01,0,ROUND(Z222+AJ223-P223,2))</f>
        <v>0.0</v>
      </c>
      <c r="AA223" s="31">
        <f>IF(AA222+AK223-Q223&lt;=0.01,0,ROUND(AA222+AK223-Q223,2))</f>
        <v>0.0</v>
      </c>
      <c r="AB223" s="31">
        <f>ROUND(R222*AB$5/1200,2)</f>
        <v>0.0</v>
      </c>
      <c r="AC223" s="31">
        <f>ROUND(S222*AC$5/1200,2)</f>
        <v>0.0</v>
      </c>
      <c r="AD223" s="31">
        <f>ROUND(T222*AD$5/1200,2)</f>
        <v>0.0</v>
      </c>
      <c r="AE223" s="31">
        <f>ROUND(U222*AE$5/1200,2)</f>
        <v>0.0</v>
      </c>
      <c r="AF223" s="31">
        <f>ROUND(V222*AF$5/1200,2)</f>
        <v>0.0</v>
      </c>
      <c r="AG223" s="31">
        <f>ROUND(W222*AG$5/1200,2)</f>
        <v>0.0</v>
      </c>
      <c r="AH223" s="31">
        <f>ROUND(X222*AH$5/1200,2)</f>
        <v>0.0</v>
      </c>
      <c r="AI223" s="31">
        <f>ROUND(Y222*AI$5/1200,2)</f>
        <v>0.0</v>
      </c>
      <c r="AJ223" s="31">
        <f>ROUND(Z222*AJ$5/1200,2)</f>
        <v>0.0</v>
      </c>
      <c r="AK223" s="31">
        <f>ROUND(AA222*AK$5/1200,2)</f>
        <v>0.0</v>
      </c>
      <c r="AL223" s="31">
        <f>MIN(AL$5,R222+AB223)</f>
        <v>0.0</v>
      </c>
      <c r="AM223" s="31">
        <f>MIN(AM$5,S222+AC223)</f>
        <v>0.0</v>
      </c>
      <c r="AN223" s="31">
        <f>MIN(AN$5,T222+AD223)</f>
        <v>0.0</v>
      </c>
      <c r="AO223" s="31">
        <f>MIN(AO$5,U222+AE223)</f>
        <v>0.0</v>
      </c>
      <c r="AP223" s="31">
        <f>MIN(AP$5,V222+AF223)</f>
        <v>0.0</v>
      </c>
      <c r="AQ223" s="31">
        <f>MIN(AQ$5,W222+AG223)</f>
        <v>0.0</v>
      </c>
      <c r="AR223" s="31">
        <f>MIN(AR$5,X222+AH223)</f>
        <v>0.0</v>
      </c>
      <c r="AS223" s="31">
        <f>MIN(AS$5,Y222+AI223)</f>
        <v>0.0</v>
      </c>
      <c r="AT223" s="31">
        <f>MIN(AT$5,Z222+AJ223)</f>
        <v>0.0</v>
      </c>
      <c r="AU223" s="31">
        <f>MIN(AU$5,AA222+AK223)</f>
        <v>0.0</v>
      </c>
    </row>
    <row r="224">
      <c r="A224" s="25" t="str">
        <f>IF(F223&gt;0.005,219,"")</f>
        <v/>
      </c>
      <c r="B224" s="33" t="str">
        <f>IF(A224="","",EDATE(Долги!$D$5,218))</f>
        <v/>
      </c>
      <c r="C224" s="31">
        <f>SUM(H224:Q224)</f>
        <v>0.0</v>
      </c>
      <c r="D224" s="31">
        <f>SUM(AB224:AK224)</f>
        <v>0.0</v>
      </c>
      <c r="E224" s="31">
        <f>C224-D224</f>
        <v>0.0</v>
      </c>
      <c r="F224" s="31">
        <f>SUM(R224:AA224)</f>
        <v>0.0</v>
      </c>
      <c r="G224" s="34" t="str">
        <f>IF(OR(A224="",$F$5&lt;=0),"",REPT("█",ROUND(20*F224/$F$5,0)))</f>
        <v/>
      </c>
      <c r="H224" s="31">
        <f>AL224+MIN(R223+AB224-AL224,MAX(0,ROUND(Долги!$D$19-SUM($AL224:$AU224),2)))</f>
        <v>0.0</v>
      </c>
      <c r="I224" s="31">
        <f>AM224+MIN(S223+AC224-AM224,MAX(0,ROUND(ROUND(Долги!$D$19-SUM($AL224:$AU224),2)-(SUM($H224:H224)-SUM($AL224:AL224)),2)))</f>
        <v>0.0</v>
      </c>
      <c r="J224" s="31">
        <f>AN224+MIN(T223+AD224-AN224,MAX(0,ROUND(ROUND(Долги!$D$19-SUM($AL224:$AU224),2)-(SUM($H224:I224)-SUM($AL224:AM224)),2)))</f>
        <v>0.0</v>
      </c>
      <c r="K224" s="31">
        <f>AO224+MIN(U223+AE224-AO224,MAX(0,ROUND(ROUND(Долги!$D$19-SUM($AL224:$AU224),2)-(SUM($H224:J224)-SUM($AL224:AN224)),2)))</f>
        <v>0.0</v>
      </c>
      <c r="L224" s="31">
        <f>AP224+MIN(V223+AF224-AP224,MAX(0,ROUND(ROUND(Долги!$D$19-SUM($AL224:$AU224),2)-(SUM($H224:K224)-SUM($AL224:AO224)),2)))</f>
        <v>0.0</v>
      </c>
      <c r="M224" s="31">
        <f>AQ224+MIN(W223+AG224-AQ224,MAX(0,ROUND(ROUND(Долги!$D$19-SUM($AL224:$AU224),2)-(SUM($H224:L224)-SUM($AL224:AP224)),2)))</f>
        <v>0.0</v>
      </c>
      <c r="N224" s="31">
        <f>AR224+MIN(X223+AH224-AR224,MAX(0,ROUND(ROUND(Долги!$D$19-SUM($AL224:$AU224),2)-(SUM($H224:M224)-SUM($AL224:AQ224)),2)))</f>
        <v>0.0</v>
      </c>
      <c r="O224" s="31">
        <f>AS224+MIN(Y223+AI224-AS224,MAX(0,ROUND(ROUND(Долги!$D$19-SUM($AL224:$AU224),2)-(SUM($H224:N224)-SUM($AL224:AR224)),2)))</f>
        <v>0.0</v>
      </c>
      <c r="P224" s="31">
        <f>AT224+MIN(Z223+AJ224-AT224,MAX(0,ROUND(ROUND(Долги!$D$19-SUM($AL224:$AU224),2)-(SUM($H224:O224)-SUM($AL224:AS224)),2)))</f>
        <v>0.0</v>
      </c>
      <c r="Q224" s="31">
        <f>AU224+MIN(AA223+AK224-AU224,MAX(0,ROUND(ROUND(Долги!$D$19-SUM($AL224:$AU224),2)-(SUM($H224:P224)-SUM($AL224:AT224)),2)))</f>
        <v>0.0</v>
      </c>
      <c r="R224" s="31">
        <f>IF(R223+AB224-H224&lt;=0.01,0,ROUND(R223+AB224-H224,2))</f>
        <v>0.0</v>
      </c>
      <c r="S224" s="31">
        <f>IF(S223+AC224-I224&lt;=0.01,0,ROUND(S223+AC224-I224,2))</f>
        <v>0.0</v>
      </c>
      <c r="T224" s="31">
        <f>IF(T223+AD224-J224&lt;=0.01,0,ROUND(T223+AD224-J224,2))</f>
        <v>0.0</v>
      </c>
      <c r="U224" s="31">
        <f>IF(U223+AE224-K224&lt;=0.01,0,ROUND(U223+AE224-K224,2))</f>
        <v>0.0</v>
      </c>
      <c r="V224" s="31">
        <f>IF(V223+AF224-L224&lt;=0.01,0,ROUND(V223+AF224-L224,2))</f>
        <v>0.0</v>
      </c>
      <c r="W224" s="31">
        <f>IF(W223+AG224-M224&lt;=0.01,0,ROUND(W223+AG224-M224,2))</f>
        <v>0.0</v>
      </c>
      <c r="X224" s="31">
        <f>IF(X223+AH224-N224&lt;=0.01,0,ROUND(X223+AH224-N224,2))</f>
        <v>0.0</v>
      </c>
      <c r="Y224" s="31">
        <f>IF(Y223+AI224-O224&lt;=0.01,0,ROUND(Y223+AI224-O224,2))</f>
        <v>0.0</v>
      </c>
      <c r="Z224" s="31">
        <f>IF(Z223+AJ224-P224&lt;=0.01,0,ROUND(Z223+AJ224-P224,2))</f>
        <v>0.0</v>
      </c>
      <c r="AA224" s="31">
        <f>IF(AA223+AK224-Q224&lt;=0.01,0,ROUND(AA223+AK224-Q224,2))</f>
        <v>0.0</v>
      </c>
      <c r="AB224" s="31">
        <f>ROUND(R223*AB$5/1200,2)</f>
        <v>0.0</v>
      </c>
      <c r="AC224" s="31">
        <f>ROUND(S223*AC$5/1200,2)</f>
        <v>0.0</v>
      </c>
      <c r="AD224" s="31">
        <f>ROUND(T223*AD$5/1200,2)</f>
        <v>0.0</v>
      </c>
      <c r="AE224" s="31">
        <f>ROUND(U223*AE$5/1200,2)</f>
        <v>0.0</v>
      </c>
      <c r="AF224" s="31">
        <f>ROUND(V223*AF$5/1200,2)</f>
        <v>0.0</v>
      </c>
      <c r="AG224" s="31">
        <f>ROUND(W223*AG$5/1200,2)</f>
        <v>0.0</v>
      </c>
      <c r="AH224" s="31">
        <f>ROUND(X223*AH$5/1200,2)</f>
        <v>0.0</v>
      </c>
      <c r="AI224" s="31">
        <f>ROUND(Y223*AI$5/1200,2)</f>
        <v>0.0</v>
      </c>
      <c r="AJ224" s="31">
        <f>ROUND(Z223*AJ$5/1200,2)</f>
        <v>0.0</v>
      </c>
      <c r="AK224" s="31">
        <f>ROUND(AA223*AK$5/1200,2)</f>
        <v>0.0</v>
      </c>
      <c r="AL224" s="31">
        <f>MIN(AL$5,R223+AB224)</f>
        <v>0.0</v>
      </c>
      <c r="AM224" s="31">
        <f>MIN(AM$5,S223+AC224)</f>
        <v>0.0</v>
      </c>
      <c r="AN224" s="31">
        <f>MIN(AN$5,T223+AD224)</f>
        <v>0.0</v>
      </c>
      <c r="AO224" s="31">
        <f>MIN(AO$5,U223+AE224)</f>
        <v>0.0</v>
      </c>
      <c r="AP224" s="31">
        <f>MIN(AP$5,V223+AF224)</f>
        <v>0.0</v>
      </c>
      <c r="AQ224" s="31">
        <f>MIN(AQ$5,W223+AG224)</f>
        <v>0.0</v>
      </c>
      <c r="AR224" s="31">
        <f>MIN(AR$5,X223+AH224)</f>
        <v>0.0</v>
      </c>
      <c r="AS224" s="31">
        <f>MIN(AS$5,Y223+AI224)</f>
        <v>0.0</v>
      </c>
      <c r="AT224" s="31">
        <f>MIN(AT$5,Z223+AJ224)</f>
        <v>0.0</v>
      </c>
      <c r="AU224" s="31">
        <f>MIN(AU$5,AA223+AK224)</f>
        <v>0.0</v>
      </c>
    </row>
    <row r="225">
      <c r="A225" s="25" t="str">
        <f>IF(F224&gt;0.005,220,"")</f>
        <v/>
      </c>
      <c r="B225" s="33" t="str">
        <f>IF(A225="","",EDATE(Долги!$D$5,219))</f>
        <v/>
      </c>
      <c r="C225" s="31">
        <f>SUM(H225:Q225)</f>
        <v>0.0</v>
      </c>
      <c r="D225" s="31">
        <f>SUM(AB225:AK225)</f>
        <v>0.0</v>
      </c>
      <c r="E225" s="31">
        <f>C225-D225</f>
        <v>0.0</v>
      </c>
      <c r="F225" s="31">
        <f>SUM(R225:AA225)</f>
        <v>0.0</v>
      </c>
      <c r="G225" s="34" t="str">
        <f>IF(OR(A225="",$F$5&lt;=0),"",REPT("█",ROUND(20*F225/$F$5,0)))</f>
        <v/>
      </c>
      <c r="H225" s="31">
        <f>AL225+MIN(R224+AB225-AL225,MAX(0,ROUND(Долги!$D$19-SUM($AL225:$AU225),2)))</f>
        <v>0.0</v>
      </c>
      <c r="I225" s="31">
        <f>AM225+MIN(S224+AC225-AM225,MAX(0,ROUND(ROUND(Долги!$D$19-SUM($AL225:$AU225),2)-(SUM($H225:H225)-SUM($AL225:AL225)),2)))</f>
        <v>0.0</v>
      </c>
      <c r="J225" s="31">
        <f>AN225+MIN(T224+AD225-AN225,MAX(0,ROUND(ROUND(Долги!$D$19-SUM($AL225:$AU225),2)-(SUM($H225:I225)-SUM($AL225:AM225)),2)))</f>
        <v>0.0</v>
      </c>
      <c r="K225" s="31">
        <f>AO225+MIN(U224+AE225-AO225,MAX(0,ROUND(ROUND(Долги!$D$19-SUM($AL225:$AU225),2)-(SUM($H225:J225)-SUM($AL225:AN225)),2)))</f>
        <v>0.0</v>
      </c>
      <c r="L225" s="31">
        <f>AP225+MIN(V224+AF225-AP225,MAX(0,ROUND(ROUND(Долги!$D$19-SUM($AL225:$AU225),2)-(SUM($H225:K225)-SUM($AL225:AO225)),2)))</f>
        <v>0.0</v>
      </c>
      <c r="M225" s="31">
        <f>AQ225+MIN(W224+AG225-AQ225,MAX(0,ROUND(ROUND(Долги!$D$19-SUM($AL225:$AU225),2)-(SUM($H225:L225)-SUM($AL225:AP225)),2)))</f>
        <v>0.0</v>
      </c>
      <c r="N225" s="31">
        <f>AR225+MIN(X224+AH225-AR225,MAX(0,ROUND(ROUND(Долги!$D$19-SUM($AL225:$AU225),2)-(SUM($H225:M225)-SUM($AL225:AQ225)),2)))</f>
        <v>0.0</v>
      </c>
      <c r="O225" s="31">
        <f>AS225+MIN(Y224+AI225-AS225,MAX(0,ROUND(ROUND(Долги!$D$19-SUM($AL225:$AU225),2)-(SUM($H225:N225)-SUM($AL225:AR225)),2)))</f>
        <v>0.0</v>
      </c>
      <c r="P225" s="31">
        <f>AT225+MIN(Z224+AJ225-AT225,MAX(0,ROUND(ROUND(Долги!$D$19-SUM($AL225:$AU225),2)-(SUM($H225:O225)-SUM($AL225:AS225)),2)))</f>
        <v>0.0</v>
      </c>
      <c r="Q225" s="31">
        <f>AU225+MIN(AA224+AK225-AU225,MAX(0,ROUND(ROUND(Долги!$D$19-SUM($AL225:$AU225),2)-(SUM($H225:P225)-SUM($AL225:AT225)),2)))</f>
        <v>0.0</v>
      </c>
      <c r="R225" s="31">
        <f>IF(R224+AB225-H225&lt;=0.01,0,ROUND(R224+AB225-H225,2))</f>
        <v>0.0</v>
      </c>
      <c r="S225" s="31">
        <f>IF(S224+AC225-I225&lt;=0.01,0,ROUND(S224+AC225-I225,2))</f>
        <v>0.0</v>
      </c>
      <c r="T225" s="31">
        <f>IF(T224+AD225-J225&lt;=0.01,0,ROUND(T224+AD225-J225,2))</f>
        <v>0.0</v>
      </c>
      <c r="U225" s="31">
        <f>IF(U224+AE225-K225&lt;=0.01,0,ROUND(U224+AE225-K225,2))</f>
        <v>0.0</v>
      </c>
      <c r="V225" s="31">
        <f>IF(V224+AF225-L225&lt;=0.01,0,ROUND(V224+AF225-L225,2))</f>
        <v>0.0</v>
      </c>
      <c r="W225" s="31">
        <f>IF(W224+AG225-M225&lt;=0.01,0,ROUND(W224+AG225-M225,2))</f>
        <v>0.0</v>
      </c>
      <c r="X225" s="31">
        <f>IF(X224+AH225-N225&lt;=0.01,0,ROUND(X224+AH225-N225,2))</f>
        <v>0.0</v>
      </c>
      <c r="Y225" s="31">
        <f>IF(Y224+AI225-O225&lt;=0.01,0,ROUND(Y224+AI225-O225,2))</f>
        <v>0.0</v>
      </c>
      <c r="Z225" s="31">
        <f>IF(Z224+AJ225-P225&lt;=0.01,0,ROUND(Z224+AJ225-P225,2))</f>
        <v>0.0</v>
      </c>
      <c r="AA225" s="31">
        <f>IF(AA224+AK225-Q225&lt;=0.01,0,ROUND(AA224+AK225-Q225,2))</f>
        <v>0.0</v>
      </c>
      <c r="AB225" s="31">
        <f>ROUND(R224*AB$5/1200,2)</f>
        <v>0.0</v>
      </c>
      <c r="AC225" s="31">
        <f>ROUND(S224*AC$5/1200,2)</f>
        <v>0.0</v>
      </c>
      <c r="AD225" s="31">
        <f>ROUND(T224*AD$5/1200,2)</f>
        <v>0.0</v>
      </c>
      <c r="AE225" s="31">
        <f>ROUND(U224*AE$5/1200,2)</f>
        <v>0.0</v>
      </c>
      <c r="AF225" s="31">
        <f>ROUND(V224*AF$5/1200,2)</f>
        <v>0.0</v>
      </c>
      <c r="AG225" s="31">
        <f>ROUND(W224*AG$5/1200,2)</f>
        <v>0.0</v>
      </c>
      <c r="AH225" s="31">
        <f>ROUND(X224*AH$5/1200,2)</f>
        <v>0.0</v>
      </c>
      <c r="AI225" s="31">
        <f>ROUND(Y224*AI$5/1200,2)</f>
        <v>0.0</v>
      </c>
      <c r="AJ225" s="31">
        <f>ROUND(Z224*AJ$5/1200,2)</f>
        <v>0.0</v>
      </c>
      <c r="AK225" s="31">
        <f>ROUND(AA224*AK$5/1200,2)</f>
        <v>0.0</v>
      </c>
      <c r="AL225" s="31">
        <f>MIN(AL$5,R224+AB225)</f>
        <v>0.0</v>
      </c>
      <c r="AM225" s="31">
        <f>MIN(AM$5,S224+AC225)</f>
        <v>0.0</v>
      </c>
      <c r="AN225" s="31">
        <f>MIN(AN$5,T224+AD225)</f>
        <v>0.0</v>
      </c>
      <c r="AO225" s="31">
        <f>MIN(AO$5,U224+AE225)</f>
        <v>0.0</v>
      </c>
      <c r="AP225" s="31">
        <f>MIN(AP$5,V224+AF225)</f>
        <v>0.0</v>
      </c>
      <c r="AQ225" s="31">
        <f>MIN(AQ$5,W224+AG225)</f>
        <v>0.0</v>
      </c>
      <c r="AR225" s="31">
        <f>MIN(AR$5,X224+AH225)</f>
        <v>0.0</v>
      </c>
      <c r="AS225" s="31">
        <f>MIN(AS$5,Y224+AI225)</f>
        <v>0.0</v>
      </c>
      <c r="AT225" s="31">
        <f>MIN(AT$5,Z224+AJ225)</f>
        <v>0.0</v>
      </c>
      <c r="AU225" s="31">
        <f>MIN(AU$5,AA224+AK225)</f>
        <v>0.0</v>
      </c>
    </row>
    <row r="226">
      <c r="A226" s="25" t="str">
        <f>IF(F225&gt;0.005,221,"")</f>
        <v/>
      </c>
      <c r="B226" s="33" t="str">
        <f>IF(A226="","",EDATE(Долги!$D$5,220))</f>
        <v/>
      </c>
      <c r="C226" s="31">
        <f>SUM(H226:Q226)</f>
        <v>0.0</v>
      </c>
      <c r="D226" s="31">
        <f>SUM(AB226:AK226)</f>
        <v>0.0</v>
      </c>
      <c r="E226" s="31">
        <f>C226-D226</f>
        <v>0.0</v>
      </c>
      <c r="F226" s="31">
        <f>SUM(R226:AA226)</f>
        <v>0.0</v>
      </c>
      <c r="G226" s="34" t="str">
        <f>IF(OR(A226="",$F$5&lt;=0),"",REPT("█",ROUND(20*F226/$F$5,0)))</f>
        <v/>
      </c>
      <c r="H226" s="31">
        <f>AL226+MIN(R225+AB226-AL226,MAX(0,ROUND(Долги!$D$19-SUM($AL226:$AU226),2)))</f>
        <v>0.0</v>
      </c>
      <c r="I226" s="31">
        <f>AM226+MIN(S225+AC226-AM226,MAX(0,ROUND(ROUND(Долги!$D$19-SUM($AL226:$AU226),2)-(SUM($H226:H226)-SUM($AL226:AL226)),2)))</f>
        <v>0.0</v>
      </c>
      <c r="J226" s="31">
        <f>AN226+MIN(T225+AD226-AN226,MAX(0,ROUND(ROUND(Долги!$D$19-SUM($AL226:$AU226),2)-(SUM($H226:I226)-SUM($AL226:AM226)),2)))</f>
        <v>0.0</v>
      </c>
      <c r="K226" s="31">
        <f>AO226+MIN(U225+AE226-AO226,MAX(0,ROUND(ROUND(Долги!$D$19-SUM($AL226:$AU226),2)-(SUM($H226:J226)-SUM($AL226:AN226)),2)))</f>
        <v>0.0</v>
      </c>
      <c r="L226" s="31">
        <f>AP226+MIN(V225+AF226-AP226,MAX(0,ROUND(ROUND(Долги!$D$19-SUM($AL226:$AU226),2)-(SUM($H226:K226)-SUM($AL226:AO226)),2)))</f>
        <v>0.0</v>
      </c>
      <c r="M226" s="31">
        <f>AQ226+MIN(W225+AG226-AQ226,MAX(0,ROUND(ROUND(Долги!$D$19-SUM($AL226:$AU226),2)-(SUM($H226:L226)-SUM($AL226:AP226)),2)))</f>
        <v>0.0</v>
      </c>
      <c r="N226" s="31">
        <f>AR226+MIN(X225+AH226-AR226,MAX(0,ROUND(ROUND(Долги!$D$19-SUM($AL226:$AU226),2)-(SUM($H226:M226)-SUM($AL226:AQ226)),2)))</f>
        <v>0.0</v>
      </c>
      <c r="O226" s="31">
        <f>AS226+MIN(Y225+AI226-AS226,MAX(0,ROUND(ROUND(Долги!$D$19-SUM($AL226:$AU226),2)-(SUM($H226:N226)-SUM($AL226:AR226)),2)))</f>
        <v>0.0</v>
      </c>
      <c r="P226" s="31">
        <f>AT226+MIN(Z225+AJ226-AT226,MAX(0,ROUND(ROUND(Долги!$D$19-SUM($AL226:$AU226),2)-(SUM($H226:O226)-SUM($AL226:AS226)),2)))</f>
        <v>0.0</v>
      </c>
      <c r="Q226" s="31">
        <f>AU226+MIN(AA225+AK226-AU226,MAX(0,ROUND(ROUND(Долги!$D$19-SUM($AL226:$AU226),2)-(SUM($H226:P226)-SUM($AL226:AT226)),2)))</f>
        <v>0.0</v>
      </c>
      <c r="R226" s="31">
        <f>IF(R225+AB226-H226&lt;=0.01,0,ROUND(R225+AB226-H226,2))</f>
        <v>0.0</v>
      </c>
      <c r="S226" s="31">
        <f>IF(S225+AC226-I226&lt;=0.01,0,ROUND(S225+AC226-I226,2))</f>
        <v>0.0</v>
      </c>
      <c r="T226" s="31">
        <f>IF(T225+AD226-J226&lt;=0.01,0,ROUND(T225+AD226-J226,2))</f>
        <v>0.0</v>
      </c>
      <c r="U226" s="31">
        <f>IF(U225+AE226-K226&lt;=0.01,0,ROUND(U225+AE226-K226,2))</f>
        <v>0.0</v>
      </c>
      <c r="V226" s="31">
        <f>IF(V225+AF226-L226&lt;=0.01,0,ROUND(V225+AF226-L226,2))</f>
        <v>0.0</v>
      </c>
      <c r="W226" s="31">
        <f>IF(W225+AG226-M226&lt;=0.01,0,ROUND(W225+AG226-M226,2))</f>
        <v>0.0</v>
      </c>
      <c r="X226" s="31">
        <f>IF(X225+AH226-N226&lt;=0.01,0,ROUND(X225+AH226-N226,2))</f>
        <v>0.0</v>
      </c>
      <c r="Y226" s="31">
        <f>IF(Y225+AI226-O226&lt;=0.01,0,ROUND(Y225+AI226-O226,2))</f>
        <v>0.0</v>
      </c>
      <c r="Z226" s="31">
        <f>IF(Z225+AJ226-P226&lt;=0.01,0,ROUND(Z225+AJ226-P226,2))</f>
        <v>0.0</v>
      </c>
      <c r="AA226" s="31">
        <f>IF(AA225+AK226-Q226&lt;=0.01,0,ROUND(AA225+AK226-Q226,2))</f>
        <v>0.0</v>
      </c>
      <c r="AB226" s="31">
        <f>ROUND(R225*AB$5/1200,2)</f>
        <v>0.0</v>
      </c>
      <c r="AC226" s="31">
        <f>ROUND(S225*AC$5/1200,2)</f>
        <v>0.0</v>
      </c>
      <c r="AD226" s="31">
        <f>ROUND(T225*AD$5/1200,2)</f>
        <v>0.0</v>
      </c>
      <c r="AE226" s="31">
        <f>ROUND(U225*AE$5/1200,2)</f>
        <v>0.0</v>
      </c>
      <c r="AF226" s="31">
        <f>ROUND(V225*AF$5/1200,2)</f>
        <v>0.0</v>
      </c>
      <c r="AG226" s="31">
        <f>ROUND(W225*AG$5/1200,2)</f>
        <v>0.0</v>
      </c>
      <c r="AH226" s="31">
        <f>ROUND(X225*AH$5/1200,2)</f>
        <v>0.0</v>
      </c>
      <c r="AI226" s="31">
        <f>ROUND(Y225*AI$5/1200,2)</f>
        <v>0.0</v>
      </c>
      <c r="AJ226" s="31">
        <f>ROUND(Z225*AJ$5/1200,2)</f>
        <v>0.0</v>
      </c>
      <c r="AK226" s="31">
        <f>ROUND(AA225*AK$5/1200,2)</f>
        <v>0.0</v>
      </c>
      <c r="AL226" s="31">
        <f>MIN(AL$5,R225+AB226)</f>
        <v>0.0</v>
      </c>
      <c r="AM226" s="31">
        <f>MIN(AM$5,S225+AC226)</f>
        <v>0.0</v>
      </c>
      <c r="AN226" s="31">
        <f>MIN(AN$5,T225+AD226)</f>
        <v>0.0</v>
      </c>
      <c r="AO226" s="31">
        <f>MIN(AO$5,U225+AE226)</f>
        <v>0.0</v>
      </c>
      <c r="AP226" s="31">
        <f>MIN(AP$5,V225+AF226)</f>
        <v>0.0</v>
      </c>
      <c r="AQ226" s="31">
        <f>MIN(AQ$5,W225+AG226)</f>
        <v>0.0</v>
      </c>
      <c r="AR226" s="31">
        <f>MIN(AR$5,X225+AH226)</f>
        <v>0.0</v>
      </c>
      <c r="AS226" s="31">
        <f>MIN(AS$5,Y225+AI226)</f>
        <v>0.0</v>
      </c>
      <c r="AT226" s="31">
        <f>MIN(AT$5,Z225+AJ226)</f>
        <v>0.0</v>
      </c>
      <c r="AU226" s="31">
        <f>MIN(AU$5,AA225+AK226)</f>
        <v>0.0</v>
      </c>
    </row>
    <row r="227">
      <c r="A227" s="25" t="str">
        <f>IF(F226&gt;0.005,222,"")</f>
        <v/>
      </c>
      <c r="B227" s="33" t="str">
        <f>IF(A227="","",EDATE(Долги!$D$5,221))</f>
        <v/>
      </c>
      <c r="C227" s="31">
        <f>SUM(H227:Q227)</f>
        <v>0.0</v>
      </c>
      <c r="D227" s="31">
        <f>SUM(AB227:AK227)</f>
        <v>0.0</v>
      </c>
      <c r="E227" s="31">
        <f>C227-D227</f>
        <v>0.0</v>
      </c>
      <c r="F227" s="31">
        <f>SUM(R227:AA227)</f>
        <v>0.0</v>
      </c>
      <c r="G227" s="34" t="str">
        <f>IF(OR(A227="",$F$5&lt;=0),"",REPT("█",ROUND(20*F227/$F$5,0)))</f>
        <v/>
      </c>
      <c r="H227" s="31">
        <f>AL227+MIN(R226+AB227-AL227,MAX(0,ROUND(Долги!$D$19-SUM($AL227:$AU227),2)))</f>
        <v>0.0</v>
      </c>
      <c r="I227" s="31">
        <f>AM227+MIN(S226+AC227-AM227,MAX(0,ROUND(ROUND(Долги!$D$19-SUM($AL227:$AU227),2)-(SUM($H227:H227)-SUM($AL227:AL227)),2)))</f>
        <v>0.0</v>
      </c>
      <c r="J227" s="31">
        <f>AN227+MIN(T226+AD227-AN227,MAX(0,ROUND(ROUND(Долги!$D$19-SUM($AL227:$AU227),2)-(SUM($H227:I227)-SUM($AL227:AM227)),2)))</f>
        <v>0.0</v>
      </c>
      <c r="K227" s="31">
        <f>AO227+MIN(U226+AE227-AO227,MAX(0,ROUND(ROUND(Долги!$D$19-SUM($AL227:$AU227),2)-(SUM($H227:J227)-SUM($AL227:AN227)),2)))</f>
        <v>0.0</v>
      </c>
      <c r="L227" s="31">
        <f>AP227+MIN(V226+AF227-AP227,MAX(0,ROUND(ROUND(Долги!$D$19-SUM($AL227:$AU227),2)-(SUM($H227:K227)-SUM($AL227:AO227)),2)))</f>
        <v>0.0</v>
      </c>
      <c r="M227" s="31">
        <f>AQ227+MIN(W226+AG227-AQ227,MAX(0,ROUND(ROUND(Долги!$D$19-SUM($AL227:$AU227),2)-(SUM($H227:L227)-SUM($AL227:AP227)),2)))</f>
        <v>0.0</v>
      </c>
      <c r="N227" s="31">
        <f>AR227+MIN(X226+AH227-AR227,MAX(0,ROUND(ROUND(Долги!$D$19-SUM($AL227:$AU227),2)-(SUM($H227:M227)-SUM($AL227:AQ227)),2)))</f>
        <v>0.0</v>
      </c>
      <c r="O227" s="31">
        <f>AS227+MIN(Y226+AI227-AS227,MAX(0,ROUND(ROUND(Долги!$D$19-SUM($AL227:$AU227),2)-(SUM($H227:N227)-SUM($AL227:AR227)),2)))</f>
        <v>0.0</v>
      </c>
      <c r="P227" s="31">
        <f>AT227+MIN(Z226+AJ227-AT227,MAX(0,ROUND(ROUND(Долги!$D$19-SUM($AL227:$AU227),2)-(SUM($H227:O227)-SUM($AL227:AS227)),2)))</f>
        <v>0.0</v>
      </c>
      <c r="Q227" s="31">
        <f>AU227+MIN(AA226+AK227-AU227,MAX(0,ROUND(ROUND(Долги!$D$19-SUM($AL227:$AU227),2)-(SUM($H227:P227)-SUM($AL227:AT227)),2)))</f>
        <v>0.0</v>
      </c>
      <c r="R227" s="31">
        <f>IF(R226+AB227-H227&lt;=0.01,0,ROUND(R226+AB227-H227,2))</f>
        <v>0.0</v>
      </c>
      <c r="S227" s="31">
        <f>IF(S226+AC227-I227&lt;=0.01,0,ROUND(S226+AC227-I227,2))</f>
        <v>0.0</v>
      </c>
      <c r="T227" s="31">
        <f>IF(T226+AD227-J227&lt;=0.01,0,ROUND(T226+AD227-J227,2))</f>
        <v>0.0</v>
      </c>
      <c r="U227" s="31">
        <f>IF(U226+AE227-K227&lt;=0.01,0,ROUND(U226+AE227-K227,2))</f>
        <v>0.0</v>
      </c>
      <c r="V227" s="31">
        <f>IF(V226+AF227-L227&lt;=0.01,0,ROUND(V226+AF227-L227,2))</f>
        <v>0.0</v>
      </c>
      <c r="W227" s="31">
        <f>IF(W226+AG227-M227&lt;=0.01,0,ROUND(W226+AG227-M227,2))</f>
        <v>0.0</v>
      </c>
      <c r="X227" s="31">
        <f>IF(X226+AH227-N227&lt;=0.01,0,ROUND(X226+AH227-N227,2))</f>
        <v>0.0</v>
      </c>
      <c r="Y227" s="31">
        <f>IF(Y226+AI227-O227&lt;=0.01,0,ROUND(Y226+AI227-O227,2))</f>
        <v>0.0</v>
      </c>
      <c r="Z227" s="31">
        <f>IF(Z226+AJ227-P227&lt;=0.01,0,ROUND(Z226+AJ227-P227,2))</f>
        <v>0.0</v>
      </c>
      <c r="AA227" s="31">
        <f>IF(AA226+AK227-Q227&lt;=0.01,0,ROUND(AA226+AK227-Q227,2))</f>
        <v>0.0</v>
      </c>
      <c r="AB227" s="31">
        <f>ROUND(R226*AB$5/1200,2)</f>
        <v>0.0</v>
      </c>
      <c r="AC227" s="31">
        <f>ROUND(S226*AC$5/1200,2)</f>
        <v>0.0</v>
      </c>
      <c r="AD227" s="31">
        <f>ROUND(T226*AD$5/1200,2)</f>
        <v>0.0</v>
      </c>
      <c r="AE227" s="31">
        <f>ROUND(U226*AE$5/1200,2)</f>
        <v>0.0</v>
      </c>
      <c r="AF227" s="31">
        <f>ROUND(V226*AF$5/1200,2)</f>
        <v>0.0</v>
      </c>
      <c r="AG227" s="31">
        <f>ROUND(W226*AG$5/1200,2)</f>
        <v>0.0</v>
      </c>
      <c r="AH227" s="31">
        <f>ROUND(X226*AH$5/1200,2)</f>
        <v>0.0</v>
      </c>
      <c r="AI227" s="31">
        <f>ROUND(Y226*AI$5/1200,2)</f>
        <v>0.0</v>
      </c>
      <c r="AJ227" s="31">
        <f>ROUND(Z226*AJ$5/1200,2)</f>
        <v>0.0</v>
      </c>
      <c r="AK227" s="31">
        <f>ROUND(AA226*AK$5/1200,2)</f>
        <v>0.0</v>
      </c>
      <c r="AL227" s="31">
        <f>MIN(AL$5,R226+AB227)</f>
        <v>0.0</v>
      </c>
      <c r="AM227" s="31">
        <f>MIN(AM$5,S226+AC227)</f>
        <v>0.0</v>
      </c>
      <c r="AN227" s="31">
        <f>MIN(AN$5,T226+AD227)</f>
        <v>0.0</v>
      </c>
      <c r="AO227" s="31">
        <f>MIN(AO$5,U226+AE227)</f>
        <v>0.0</v>
      </c>
      <c r="AP227" s="31">
        <f>MIN(AP$5,V226+AF227)</f>
        <v>0.0</v>
      </c>
      <c r="AQ227" s="31">
        <f>MIN(AQ$5,W226+AG227)</f>
        <v>0.0</v>
      </c>
      <c r="AR227" s="31">
        <f>MIN(AR$5,X226+AH227)</f>
        <v>0.0</v>
      </c>
      <c r="AS227" s="31">
        <f>MIN(AS$5,Y226+AI227)</f>
        <v>0.0</v>
      </c>
      <c r="AT227" s="31">
        <f>MIN(AT$5,Z226+AJ227)</f>
        <v>0.0</v>
      </c>
      <c r="AU227" s="31">
        <f>MIN(AU$5,AA226+AK227)</f>
        <v>0.0</v>
      </c>
    </row>
    <row r="228">
      <c r="A228" s="25" t="str">
        <f>IF(F227&gt;0.005,223,"")</f>
        <v/>
      </c>
      <c r="B228" s="33" t="str">
        <f>IF(A228="","",EDATE(Долги!$D$5,222))</f>
        <v/>
      </c>
      <c r="C228" s="31">
        <f>SUM(H228:Q228)</f>
        <v>0.0</v>
      </c>
      <c r="D228" s="31">
        <f>SUM(AB228:AK228)</f>
        <v>0.0</v>
      </c>
      <c r="E228" s="31">
        <f>C228-D228</f>
        <v>0.0</v>
      </c>
      <c r="F228" s="31">
        <f>SUM(R228:AA228)</f>
        <v>0.0</v>
      </c>
      <c r="G228" s="34" t="str">
        <f>IF(OR(A228="",$F$5&lt;=0),"",REPT("█",ROUND(20*F228/$F$5,0)))</f>
        <v/>
      </c>
      <c r="H228" s="31">
        <f>AL228+MIN(R227+AB228-AL228,MAX(0,ROUND(Долги!$D$19-SUM($AL228:$AU228),2)))</f>
        <v>0.0</v>
      </c>
      <c r="I228" s="31">
        <f>AM228+MIN(S227+AC228-AM228,MAX(0,ROUND(ROUND(Долги!$D$19-SUM($AL228:$AU228),2)-(SUM($H228:H228)-SUM($AL228:AL228)),2)))</f>
        <v>0.0</v>
      </c>
      <c r="J228" s="31">
        <f>AN228+MIN(T227+AD228-AN228,MAX(0,ROUND(ROUND(Долги!$D$19-SUM($AL228:$AU228),2)-(SUM($H228:I228)-SUM($AL228:AM228)),2)))</f>
        <v>0.0</v>
      </c>
      <c r="K228" s="31">
        <f>AO228+MIN(U227+AE228-AO228,MAX(0,ROUND(ROUND(Долги!$D$19-SUM($AL228:$AU228),2)-(SUM($H228:J228)-SUM($AL228:AN228)),2)))</f>
        <v>0.0</v>
      </c>
      <c r="L228" s="31">
        <f>AP228+MIN(V227+AF228-AP228,MAX(0,ROUND(ROUND(Долги!$D$19-SUM($AL228:$AU228),2)-(SUM($H228:K228)-SUM($AL228:AO228)),2)))</f>
        <v>0.0</v>
      </c>
      <c r="M228" s="31">
        <f>AQ228+MIN(W227+AG228-AQ228,MAX(0,ROUND(ROUND(Долги!$D$19-SUM($AL228:$AU228),2)-(SUM($H228:L228)-SUM($AL228:AP228)),2)))</f>
        <v>0.0</v>
      </c>
      <c r="N228" s="31">
        <f>AR228+MIN(X227+AH228-AR228,MAX(0,ROUND(ROUND(Долги!$D$19-SUM($AL228:$AU228),2)-(SUM($H228:M228)-SUM($AL228:AQ228)),2)))</f>
        <v>0.0</v>
      </c>
      <c r="O228" s="31">
        <f>AS228+MIN(Y227+AI228-AS228,MAX(0,ROUND(ROUND(Долги!$D$19-SUM($AL228:$AU228),2)-(SUM($H228:N228)-SUM($AL228:AR228)),2)))</f>
        <v>0.0</v>
      </c>
      <c r="P228" s="31">
        <f>AT228+MIN(Z227+AJ228-AT228,MAX(0,ROUND(ROUND(Долги!$D$19-SUM($AL228:$AU228),2)-(SUM($H228:O228)-SUM($AL228:AS228)),2)))</f>
        <v>0.0</v>
      </c>
      <c r="Q228" s="31">
        <f>AU228+MIN(AA227+AK228-AU228,MAX(0,ROUND(ROUND(Долги!$D$19-SUM($AL228:$AU228),2)-(SUM($H228:P228)-SUM($AL228:AT228)),2)))</f>
        <v>0.0</v>
      </c>
      <c r="R228" s="31">
        <f>IF(R227+AB228-H228&lt;=0.01,0,ROUND(R227+AB228-H228,2))</f>
        <v>0.0</v>
      </c>
      <c r="S228" s="31">
        <f>IF(S227+AC228-I228&lt;=0.01,0,ROUND(S227+AC228-I228,2))</f>
        <v>0.0</v>
      </c>
      <c r="T228" s="31">
        <f>IF(T227+AD228-J228&lt;=0.01,0,ROUND(T227+AD228-J228,2))</f>
        <v>0.0</v>
      </c>
      <c r="U228" s="31">
        <f>IF(U227+AE228-K228&lt;=0.01,0,ROUND(U227+AE228-K228,2))</f>
        <v>0.0</v>
      </c>
      <c r="V228" s="31">
        <f>IF(V227+AF228-L228&lt;=0.01,0,ROUND(V227+AF228-L228,2))</f>
        <v>0.0</v>
      </c>
      <c r="W228" s="31">
        <f>IF(W227+AG228-M228&lt;=0.01,0,ROUND(W227+AG228-M228,2))</f>
        <v>0.0</v>
      </c>
      <c r="X228" s="31">
        <f>IF(X227+AH228-N228&lt;=0.01,0,ROUND(X227+AH228-N228,2))</f>
        <v>0.0</v>
      </c>
      <c r="Y228" s="31">
        <f>IF(Y227+AI228-O228&lt;=0.01,0,ROUND(Y227+AI228-O228,2))</f>
        <v>0.0</v>
      </c>
      <c r="Z228" s="31">
        <f>IF(Z227+AJ228-P228&lt;=0.01,0,ROUND(Z227+AJ228-P228,2))</f>
        <v>0.0</v>
      </c>
      <c r="AA228" s="31">
        <f>IF(AA227+AK228-Q228&lt;=0.01,0,ROUND(AA227+AK228-Q228,2))</f>
        <v>0.0</v>
      </c>
      <c r="AB228" s="31">
        <f>ROUND(R227*AB$5/1200,2)</f>
        <v>0.0</v>
      </c>
      <c r="AC228" s="31">
        <f>ROUND(S227*AC$5/1200,2)</f>
        <v>0.0</v>
      </c>
      <c r="AD228" s="31">
        <f>ROUND(T227*AD$5/1200,2)</f>
        <v>0.0</v>
      </c>
      <c r="AE228" s="31">
        <f>ROUND(U227*AE$5/1200,2)</f>
        <v>0.0</v>
      </c>
      <c r="AF228" s="31">
        <f>ROUND(V227*AF$5/1200,2)</f>
        <v>0.0</v>
      </c>
      <c r="AG228" s="31">
        <f>ROUND(W227*AG$5/1200,2)</f>
        <v>0.0</v>
      </c>
      <c r="AH228" s="31">
        <f>ROUND(X227*AH$5/1200,2)</f>
        <v>0.0</v>
      </c>
      <c r="AI228" s="31">
        <f>ROUND(Y227*AI$5/1200,2)</f>
        <v>0.0</v>
      </c>
      <c r="AJ228" s="31">
        <f>ROUND(Z227*AJ$5/1200,2)</f>
        <v>0.0</v>
      </c>
      <c r="AK228" s="31">
        <f>ROUND(AA227*AK$5/1200,2)</f>
        <v>0.0</v>
      </c>
      <c r="AL228" s="31">
        <f>MIN(AL$5,R227+AB228)</f>
        <v>0.0</v>
      </c>
      <c r="AM228" s="31">
        <f>MIN(AM$5,S227+AC228)</f>
        <v>0.0</v>
      </c>
      <c r="AN228" s="31">
        <f>MIN(AN$5,T227+AD228)</f>
        <v>0.0</v>
      </c>
      <c r="AO228" s="31">
        <f>MIN(AO$5,U227+AE228)</f>
        <v>0.0</v>
      </c>
      <c r="AP228" s="31">
        <f>MIN(AP$5,V227+AF228)</f>
        <v>0.0</v>
      </c>
      <c r="AQ228" s="31">
        <f>MIN(AQ$5,W227+AG228)</f>
        <v>0.0</v>
      </c>
      <c r="AR228" s="31">
        <f>MIN(AR$5,X227+AH228)</f>
        <v>0.0</v>
      </c>
      <c r="AS228" s="31">
        <f>MIN(AS$5,Y227+AI228)</f>
        <v>0.0</v>
      </c>
      <c r="AT228" s="31">
        <f>MIN(AT$5,Z227+AJ228)</f>
        <v>0.0</v>
      </c>
      <c r="AU228" s="31">
        <f>MIN(AU$5,AA227+AK228)</f>
        <v>0.0</v>
      </c>
    </row>
    <row r="229">
      <c r="A229" s="25" t="str">
        <f>IF(F228&gt;0.005,224,"")</f>
        <v/>
      </c>
      <c r="B229" s="33" t="str">
        <f>IF(A229="","",EDATE(Долги!$D$5,223))</f>
        <v/>
      </c>
      <c r="C229" s="31">
        <f>SUM(H229:Q229)</f>
        <v>0.0</v>
      </c>
      <c r="D229" s="31">
        <f>SUM(AB229:AK229)</f>
        <v>0.0</v>
      </c>
      <c r="E229" s="31">
        <f>C229-D229</f>
        <v>0.0</v>
      </c>
      <c r="F229" s="31">
        <f>SUM(R229:AA229)</f>
        <v>0.0</v>
      </c>
      <c r="G229" s="34" t="str">
        <f>IF(OR(A229="",$F$5&lt;=0),"",REPT("█",ROUND(20*F229/$F$5,0)))</f>
        <v/>
      </c>
      <c r="H229" s="31">
        <f>AL229+MIN(R228+AB229-AL229,MAX(0,ROUND(Долги!$D$19-SUM($AL229:$AU229),2)))</f>
        <v>0.0</v>
      </c>
      <c r="I229" s="31">
        <f>AM229+MIN(S228+AC229-AM229,MAX(0,ROUND(ROUND(Долги!$D$19-SUM($AL229:$AU229),2)-(SUM($H229:H229)-SUM($AL229:AL229)),2)))</f>
        <v>0.0</v>
      </c>
      <c r="J229" s="31">
        <f>AN229+MIN(T228+AD229-AN229,MAX(0,ROUND(ROUND(Долги!$D$19-SUM($AL229:$AU229),2)-(SUM($H229:I229)-SUM($AL229:AM229)),2)))</f>
        <v>0.0</v>
      </c>
      <c r="K229" s="31">
        <f>AO229+MIN(U228+AE229-AO229,MAX(0,ROUND(ROUND(Долги!$D$19-SUM($AL229:$AU229),2)-(SUM($H229:J229)-SUM($AL229:AN229)),2)))</f>
        <v>0.0</v>
      </c>
      <c r="L229" s="31">
        <f>AP229+MIN(V228+AF229-AP229,MAX(0,ROUND(ROUND(Долги!$D$19-SUM($AL229:$AU229),2)-(SUM($H229:K229)-SUM($AL229:AO229)),2)))</f>
        <v>0.0</v>
      </c>
      <c r="M229" s="31">
        <f>AQ229+MIN(W228+AG229-AQ229,MAX(0,ROUND(ROUND(Долги!$D$19-SUM($AL229:$AU229),2)-(SUM($H229:L229)-SUM($AL229:AP229)),2)))</f>
        <v>0.0</v>
      </c>
      <c r="N229" s="31">
        <f>AR229+MIN(X228+AH229-AR229,MAX(0,ROUND(ROUND(Долги!$D$19-SUM($AL229:$AU229),2)-(SUM($H229:M229)-SUM($AL229:AQ229)),2)))</f>
        <v>0.0</v>
      </c>
      <c r="O229" s="31">
        <f>AS229+MIN(Y228+AI229-AS229,MAX(0,ROUND(ROUND(Долги!$D$19-SUM($AL229:$AU229),2)-(SUM($H229:N229)-SUM($AL229:AR229)),2)))</f>
        <v>0.0</v>
      </c>
      <c r="P229" s="31">
        <f>AT229+MIN(Z228+AJ229-AT229,MAX(0,ROUND(ROUND(Долги!$D$19-SUM($AL229:$AU229),2)-(SUM($H229:O229)-SUM($AL229:AS229)),2)))</f>
        <v>0.0</v>
      </c>
      <c r="Q229" s="31">
        <f>AU229+MIN(AA228+AK229-AU229,MAX(0,ROUND(ROUND(Долги!$D$19-SUM($AL229:$AU229),2)-(SUM($H229:P229)-SUM($AL229:AT229)),2)))</f>
        <v>0.0</v>
      </c>
      <c r="R229" s="31">
        <f>IF(R228+AB229-H229&lt;=0.01,0,ROUND(R228+AB229-H229,2))</f>
        <v>0.0</v>
      </c>
      <c r="S229" s="31">
        <f>IF(S228+AC229-I229&lt;=0.01,0,ROUND(S228+AC229-I229,2))</f>
        <v>0.0</v>
      </c>
      <c r="T229" s="31">
        <f>IF(T228+AD229-J229&lt;=0.01,0,ROUND(T228+AD229-J229,2))</f>
        <v>0.0</v>
      </c>
      <c r="U229" s="31">
        <f>IF(U228+AE229-K229&lt;=0.01,0,ROUND(U228+AE229-K229,2))</f>
        <v>0.0</v>
      </c>
      <c r="V229" s="31">
        <f>IF(V228+AF229-L229&lt;=0.01,0,ROUND(V228+AF229-L229,2))</f>
        <v>0.0</v>
      </c>
      <c r="W229" s="31">
        <f>IF(W228+AG229-M229&lt;=0.01,0,ROUND(W228+AG229-M229,2))</f>
        <v>0.0</v>
      </c>
      <c r="X229" s="31">
        <f>IF(X228+AH229-N229&lt;=0.01,0,ROUND(X228+AH229-N229,2))</f>
        <v>0.0</v>
      </c>
      <c r="Y229" s="31">
        <f>IF(Y228+AI229-O229&lt;=0.01,0,ROUND(Y228+AI229-O229,2))</f>
        <v>0.0</v>
      </c>
      <c r="Z229" s="31">
        <f>IF(Z228+AJ229-P229&lt;=0.01,0,ROUND(Z228+AJ229-P229,2))</f>
        <v>0.0</v>
      </c>
      <c r="AA229" s="31">
        <f>IF(AA228+AK229-Q229&lt;=0.01,0,ROUND(AA228+AK229-Q229,2))</f>
        <v>0.0</v>
      </c>
      <c r="AB229" s="31">
        <f>ROUND(R228*AB$5/1200,2)</f>
        <v>0.0</v>
      </c>
      <c r="AC229" s="31">
        <f>ROUND(S228*AC$5/1200,2)</f>
        <v>0.0</v>
      </c>
      <c r="AD229" s="31">
        <f>ROUND(T228*AD$5/1200,2)</f>
        <v>0.0</v>
      </c>
      <c r="AE229" s="31">
        <f>ROUND(U228*AE$5/1200,2)</f>
        <v>0.0</v>
      </c>
      <c r="AF229" s="31">
        <f>ROUND(V228*AF$5/1200,2)</f>
        <v>0.0</v>
      </c>
      <c r="AG229" s="31">
        <f>ROUND(W228*AG$5/1200,2)</f>
        <v>0.0</v>
      </c>
      <c r="AH229" s="31">
        <f>ROUND(X228*AH$5/1200,2)</f>
        <v>0.0</v>
      </c>
      <c r="AI229" s="31">
        <f>ROUND(Y228*AI$5/1200,2)</f>
        <v>0.0</v>
      </c>
      <c r="AJ229" s="31">
        <f>ROUND(Z228*AJ$5/1200,2)</f>
        <v>0.0</v>
      </c>
      <c r="AK229" s="31">
        <f>ROUND(AA228*AK$5/1200,2)</f>
        <v>0.0</v>
      </c>
      <c r="AL229" s="31">
        <f>MIN(AL$5,R228+AB229)</f>
        <v>0.0</v>
      </c>
      <c r="AM229" s="31">
        <f>MIN(AM$5,S228+AC229)</f>
        <v>0.0</v>
      </c>
      <c r="AN229" s="31">
        <f>MIN(AN$5,T228+AD229)</f>
        <v>0.0</v>
      </c>
      <c r="AO229" s="31">
        <f>MIN(AO$5,U228+AE229)</f>
        <v>0.0</v>
      </c>
      <c r="AP229" s="31">
        <f>MIN(AP$5,V228+AF229)</f>
        <v>0.0</v>
      </c>
      <c r="AQ229" s="31">
        <f>MIN(AQ$5,W228+AG229)</f>
        <v>0.0</v>
      </c>
      <c r="AR229" s="31">
        <f>MIN(AR$5,X228+AH229)</f>
        <v>0.0</v>
      </c>
      <c r="AS229" s="31">
        <f>MIN(AS$5,Y228+AI229)</f>
        <v>0.0</v>
      </c>
      <c r="AT229" s="31">
        <f>MIN(AT$5,Z228+AJ229)</f>
        <v>0.0</v>
      </c>
      <c r="AU229" s="31">
        <f>MIN(AU$5,AA228+AK229)</f>
        <v>0.0</v>
      </c>
    </row>
    <row r="230">
      <c r="A230" s="25" t="str">
        <f>IF(F229&gt;0.005,225,"")</f>
        <v/>
      </c>
      <c r="B230" s="33" t="str">
        <f>IF(A230="","",EDATE(Долги!$D$5,224))</f>
        <v/>
      </c>
      <c r="C230" s="31">
        <f>SUM(H230:Q230)</f>
        <v>0.0</v>
      </c>
      <c r="D230" s="31">
        <f>SUM(AB230:AK230)</f>
        <v>0.0</v>
      </c>
      <c r="E230" s="31">
        <f>C230-D230</f>
        <v>0.0</v>
      </c>
      <c r="F230" s="31">
        <f>SUM(R230:AA230)</f>
        <v>0.0</v>
      </c>
      <c r="G230" s="34" t="str">
        <f>IF(OR(A230="",$F$5&lt;=0),"",REPT("█",ROUND(20*F230/$F$5,0)))</f>
        <v/>
      </c>
      <c r="H230" s="31">
        <f>AL230+MIN(R229+AB230-AL230,MAX(0,ROUND(Долги!$D$19-SUM($AL230:$AU230),2)))</f>
        <v>0.0</v>
      </c>
      <c r="I230" s="31">
        <f>AM230+MIN(S229+AC230-AM230,MAX(0,ROUND(ROUND(Долги!$D$19-SUM($AL230:$AU230),2)-(SUM($H230:H230)-SUM($AL230:AL230)),2)))</f>
        <v>0.0</v>
      </c>
      <c r="J230" s="31">
        <f>AN230+MIN(T229+AD230-AN230,MAX(0,ROUND(ROUND(Долги!$D$19-SUM($AL230:$AU230),2)-(SUM($H230:I230)-SUM($AL230:AM230)),2)))</f>
        <v>0.0</v>
      </c>
      <c r="K230" s="31">
        <f>AO230+MIN(U229+AE230-AO230,MAX(0,ROUND(ROUND(Долги!$D$19-SUM($AL230:$AU230),2)-(SUM($H230:J230)-SUM($AL230:AN230)),2)))</f>
        <v>0.0</v>
      </c>
      <c r="L230" s="31">
        <f>AP230+MIN(V229+AF230-AP230,MAX(0,ROUND(ROUND(Долги!$D$19-SUM($AL230:$AU230),2)-(SUM($H230:K230)-SUM($AL230:AO230)),2)))</f>
        <v>0.0</v>
      </c>
      <c r="M230" s="31">
        <f>AQ230+MIN(W229+AG230-AQ230,MAX(0,ROUND(ROUND(Долги!$D$19-SUM($AL230:$AU230),2)-(SUM($H230:L230)-SUM($AL230:AP230)),2)))</f>
        <v>0.0</v>
      </c>
      <c r="N230" s="31">
        <f>AR230+MIN(X229+AH230-AR230,MAX(0,ROUND(ROUND(Долги!$D$19-SUM($AL230:$AU230),2)-(SUM($H230:M230)-SUM($AL230:AQ230)),2)))</f>
        <v>0.0</v>
      </c>
      <c r="O230" s="31">
        <f>AS230+MIN(Y229+AI230-AS230,MAX(0,ROUND(ROUND(Долги!$D$19-SUM($AL230:$AU230),2)-(SUM($H230:N230)-SUM($AL230:AR230)),2)))</f>
        <v>0.0</v>
      </c>
      <c r="P230" s="31">
        <f>AT230+MIN(Z229+AJ230-AT230,MAX(0,ROUND(ROUND(Долги!$D$19-SUM($AL230:$AU230),2)-(SUM($H230:O230)-SUM($AL230:AS230)),2)))</f>
        <v>0.0</v>
      </c>
      <c r="Q230" s="31">
        <f>AU230+MIN(AA229+AK230-AU230,MAX(0,ROUND(ROUND(Долги!$D$19-SUM($AL230:$AU230),2)-(SUM($H230:P230)-SUM($AL230:AT230)),2)))</f>
        <v>0.0</v>
      </c>
      <c r="R230" s="31">
        <f>IF(R229+AB230-H230&lt;=0.01,0,ROUND(R229+AB230-H230,2))</f>
        <v>0.0</v>
      </c>
      <c r="S230" s="31">
        <f>IF(S229+AC230-I230&lt;=0.01,0,ROUND(S229+AC230-I230,2))</f>
        <v>0.0</v>
      </c>
      <c r="T230" s="31">
        <f>IF(T229+AD230-J230&lt;=0.01,0,ROUND(T229+AD230-J230,2))</f>
        <v>0.0</v>
      </c>
      <c r="U230" s="31">
        <f>IF(U229+AE230-K230&lt;=0.01,0,ROUND(U229+AE230-K230,2))</f>
        <v>0.0</v>
      </c>
      <c r="V230" s="31">
        <f>IF(V229+AF230-L230&lt;=0.01,0,ROUND(V229+AF230-L230,2))</f>
        <v>0.0</v>
      </c>
      <c r="W230" s="31">
        <f>IF(W229+AG230-M230&lt;=0.01,0,ROUND(W229+AG230-M230,2))</f>
        <v>0.0</v>
      </c>
      <c r="X230" s="31">
        <f>IF(X229+AH230-N230&lt;=0.01,0,ROUND(X229+AH230-N230,2))</f>
        <v>0.0</v>
      </c>
      <c r="Y230" s="31">
        <f>IF(Y229+AI230-O230&lt;=0.01,0,ROUND(Y229+AI230-O230,2))</f>
        <v>0.0</v>
      </c>
      <c r="Z230" s="31">
        <f>IF(Z229+AJ230-P230&lt;=0.01,0,ROUND(Z229+AJ230-P230,2))</f>
        <v>0.0</v>
      </c>
      <c r="AA230" s="31">
        <f>IF(AA229+AK230-Q230&lt;=0.01,0,ROUND(AA229+AK230-Q230,2))</f>
        <v>0.0</v>
      </c>
      <c r="AB230" s="31">
        <f>ROUND(R229*AB$5/1200,2)</f>
        <v>0.0</v>
      </c>
      <c r="AC230" s="31">
        <f>ROUND(S229*AC$5/1200,2)</f>
        <v>0.0</v>
      </c>
      <c r="AD230" s="31">
        <f>ROUND(T229*AD$5/1200,2)</f>
        <v>0.0</v>
      </c>
      <c r="AE230" s="31">
        <f>ROUND(U229*AE$5/1200,2)</f>
        <v>0.0</v>
      </c>
      <c r="AF230" s="31">
        <f>ROUND(V229*AF$5/1200,2)</f>
        <v>0.0</v>
      </c>
      <c r="AG230" s="31">
        <f>ROUND(W229*AG$5/1200,2)</f>
        <v>0.0</v>
      </c>
      <c r="AH230" s="31">
        <f>ROUND(X229*AH$5/1200,2)</f>
        <v>0.0</v>
      </c>
      <c r="AI230" s="31">
        <f>ROUND(Y229*AI$5/1200,2)</f>
        <v>0.0</v>
      </c>
      <c r="AJ230" s="31">
        <f>ROUND(Z229*AJ$5/1200,2)</f>
        <v>0.0</v>
      </c>
      <c r="AK230" s="31">
        <f>ROUND(AA229*AK$5/1200,2)</f>
        <v>0.0</v>
      </c>
      <c r="AL230" s="31">
        <f>MIN(AL$5,R229+AB230)</f>
        <v>0.0</v>
      </c>
      <c r="AM230" s="31">
        <f>MIN(AM$5,S229+AC230)</f>
        <v>0.0</v>
      </c>
      <c r="AN230" s="31">
        <f>MIN(AN$5,T229+AD230)</f>
        <v>0.0</v>
      </c>
      <c r="AO230" s="31">
        <f>MIN(AO$5,U229+AE230)</f>
        <v>0.0</v>
      </c>
      <c r="AP230" s="31">
        <f>MIN(AP$5,V229+AF230)</f>
        <v>0.0</v>
      </c>
      <c r="AQ230" s="31">
        <f>MIN(AQ$5,W229+AG230)</f>
        <v>0.0</v>
      </c>
      <c r="AR230" s="31">
        <f>MIN(AR$5,X229+AH230)</f>
        <v>0.0</v>
      </c>
      <c r="AS230" s="31">
        <f>MIN(AS$5,Y229+AI230)</f>
        <v>0.0</v>
      </c>
      <c r="AT230" s="31">
        <f>MIN(AT$5,Z229+AJ230)</f>
        <v>0.0</v>
      </c>
      <c r="AU230" s="31">
        <f>MIN(AU$5,AA229+AK230)</f>
        <v>0.0</v>
      </c>
    </row>
    <row r="231">
      <c r="A231" s="25" t="str">
        <f>IF(F230&gt;0.005,226,"")</f>
        <v/>
      </c>
      <c r="B231" s="33" t="str">
        <f>IF(A231="","",EDATE(Долги!$D$5,225))</f>
        <v/>
      </c>
      <c r="C231" s="31">
        <f>SUM(H231:Q231)</f>
        <v>0.0</v>
      </c>
      <c r="D231" s="31">
        <f>SUM(AB231:AK231)</f>
        <v>0.0</v>
      </c>
      <c r="E231" s="31">
        <f>C231-D231</f>
        <v>0.0</v>
      </c>
      <c r="F231" s="31">
        <f>SUM(R231:AA231)</f>
        <v>0.0</v>
      </c>
      <c r="G231" s="34" t="str">
        <f>IF(OR(A231="",$F$5&lt;=0),"",REPT("█",ROUND(20*F231/$F$5,0)))</f>
        <v/>
      </c>
      <c r="H231" s="31">
        <f>AL231+MIN(R230+AB231-AL231,MAX(0,ROUND(Долги!$D$19-SUM($AL231:$AU231),2)))</f>
        <v>0.0</v>
      </c>
      <c r="I231" s="31">
        <f>AM231+MIN(S230+AC231-AM231,MAX(0,ROUND(ROUND(Долги!$D$19-SUM($AL231:$AU231),2)-(SUM($H231:H231)-SUM($AL231:AL231)),2)))</f>
        <v>0.0</v>
      </c>
      <c r="J231" s="31">
        <f>AN231+MIN(T230+AD231-AN231,MAX(0,ROUND(ROUND(Долги!$D$19-SUM($AL231:$AU231),2)-(SUM($H231:I231)-SUM($AL231:AM231)),2)))</f>
        <v>0.0</v>
      </c>
      <c r="K231" s="31">
        <f>AO231+MIN(U230+AE231-AO231,MAX(0,ROUND(ROUND(Долги!$D$19-SUM($AL231:$AU231),2)-(SUM($H231:J231)-SUM($AL231:AN231)),2)))</f>
        <v>0.0</v>
      </c>
      <c r="L231" s="31">
        <f>AP231+MIN(V230+AF231-AP231,MAX(0,ROUND(ROUND(Долги!$D$19-SUM($AL231:$AU231),2)-(SUM($H231:K231)-SUM($AL231:AO231)),2)))</f>
        <v>0.0</v>
      </c>
      <c r="M231" s="31">
        <f>AQ231+MIN(W230+AG231-AQ231,MAX(0,ROUND(ROUND(Долги!$D$19-SUM($AL231:$AU231),2)-(SUM($H231:L231)-SUM($AL231:AP231)),2)))</f>
        <v>0.0</v>
      </c>
      <c r="N231" s="31">
        <f>AR231+MIN(X230+AH231-AR231,MAX(0,ROUND(ROUND(Долги!$D$19-SUM($AL231:$AU231),2)-(SUM($H231:M231)-SUM($AL231:AQ231)),2)))</f>
        <v>0.0</v>
      </c>
      <c r="O231" s="31">
        <f>AS231+MIN(Y230+AI231-AS231,MAX(0,ROUND(ROUND(Долги!$D$19-SUM($AL231:$AU231),2)-(SUM($H231:N231)-SUM($AL231:AR231)),2)))</f>
        <v>0.0</v>
      </c>
      <c r="P231" s="31">
        <f>AT231+MIN(Z230+AJ231-AT231,MAX(0,ROUND(ROUND(Долги!$D$19-SUM($AL231:$AU231),2)-(SUM($H231:O231)-SUM($AL231:AS231)),2)))</f>
        <v>0.0</v>
      </c>
      <c r="Q231" s="31">
        <f>AU231+MIN(AA230+AK231-AU231,MAX(0,ROUND(ROUND(Долги!$D$19-SUM($AL231:$AU231),2)-(SUM($H231:P231)-SUM($AL231:AT231)),2)))</f>
        <v>0.0</v>
      </c>
      <c r="R231" s="31">
        <f>IF(R230+AB231-H231&lt;=0.01,0,ROUND(R230+AB231-H231,2))</f>
        <v>0.0</v>
      </c>
      <c r="S231" s="31">
        <f>IF(S230+AC231-I231&lt;=0.01,0,ROUND(S230+AC231-I231,2))</f>
        <v>0.0</v>
      </c>
      <c r="T231" s="31">
        <f>IF(T230+AD231-J231&lt;=0.01,0,ROUND(T230+AD231-J231,2))</f>
        <v>0.0</v>
      </c>
      <c r="U231" s="31">
        <f>IF(U230+AE231-K231&lt;=0.01,0,ROUND(U230+AE231-K231,2))</f>
        <v>0.0</v>
      </c>
      <c r="V231" s="31">
        <f>IF(V230+AF231-L231&lt;=0.01,0,ROUND(V230+AF231-L231,2))</f>
        <v>0.0</v>
      </c>
      <c r="W231" s="31">
        <f>IF(W230+AG231-M231&lt;=0.01,0,ROUND(W230+AG231-M231,2))</f>
        <v>0.0</v>
      </c>
      <c r="X231" s="31">
        <f>IF(X230+AH231-N231&lt;=0.01,0,ROUND(X230+AH231-N231,2))</f>
        <v>0.0</v>
      </c>
      <c r="Y231" s="31">
        <f>IF(Y230+AI231-O231&lt;=0.01,0,ROUND(Y230+AI231-O231,2))</f>
        <v>0.0</v>
      </c>
      <c r="Z231" s="31">
        <f>IF(Z230+AJ231-P231&lt;=0.01,0,ROUND(Z230+AJ231-P231,2))</f>
        <v>0.0</v>
      </c>
      <c r="AA231" s="31">
        <f>IF(AA230+AK231-Q231&lt;=0.01,0,ROUND(AA230+AK231-Q231,2))</f>
        <v>0.0</v>
      </c>
      <c r="AB231" s="31">
        <f>ROUND(R230*AB$5/1200,2)</f>
        <v>0.0</v>
      </c>
      <c r="AC231" s="31">
        <f>ROUND(S230*AC$5/1200,2)</f>
        <v>0.0</v>
      </c>
      <c r="AD231" s="31">
        <f>ROUND(T230*AD$5/1200,2)</f>
        <v>0.0</v>
      </c>
      <c r="AE231" s="31">
        <f>ROUND(U230*AE$5/1200,2)</f>
        <v>0.0</v>
      </c>
      <c r="AF231" s="31">
        <f>ROUND(V230*AF$5/1200,2)</f>
        <v>0.0</v>
      </c>
      <c r="AG231" s="31">
        <f>ROUND(W230*AG$5/1200,2)</f>
        <v>0.0</v>
      </c>
      <c r="AH231" s="31">
        <f>ROUND(X230*AH$5/1200,2)</f>
        <v>0.0</v>
      </c>
      <c r="AI231" s="31">
        <f>ROUND(Y230*AI$5/1200,2)</f>
        <v>0.0</v>
      </c>
      <c r="AJ231" s="31">
        <f>ROUND(Z230*AJ$5/1200,2)</f>
        <v>0.0</v>
      </c>
      <c r="AK231" s="31">
        <f>ROUND(AA230*AK$5/1200,2)</f>
        <v>0.0</v>
      </c>
      <c r="AL231" s="31">
        <f>MIN(AL$5,R230+AB231)</f>
        <v>0.0</v>
      </c>
      <c r="AM231" s="31">
        <f>MIN(AM$5,S230+AC231)</f>
        <v>0.0</v>
      </c>
      <c r="AN231" s="31">
        <f>MIN(AN$5,T230+AD231)</f>
        <v>0.0</v>
      </c>
      <c r="AO231" s="31">
        <f>MIN(AO$5,U230+AE231)</f>
        <v>0.0</v>
      </c>
      <c r="AP231" s="31">
        <f>MIN(AP$5,V230+AF231)</f>
        <v>0.0</v>
      </c>
      <c r="AQ231" s="31">
        <f>MIN(AQ$5,W230+AG231)</f>
        <v>0.0</v>
      </c>
      <c r="AR231" s="31">
        <f>MIN(AR$5,X230+AH231)</f>
        <v>0.0</v>
      </c>
      <c r="AS231" s="31">
        <f>MIN(AS$5,Y230+AI231)</f>
        <v>0.0</v>
      </c>
      <c r="AT231" s="31">
        <f>MIN(AT$5,Z230+AJ231)</f>
        <v>0.0</v>
      </c>
      <c r="AU231" s="31">
        <f>MIN(AU$5,AA230+AK231)</f>
        <v>0.0</v>
      </c>
    </row>
    <row r="232">
      <c r="A232" s="25" t="str">
        <f>IF(F231&gt;0.005,227,"")</f>
        <v/>
      </c>
      <c r="B232" s="33" t="str">
        <f>IF(A232="","",EDATE(Долги!$D$5,226))</f>
        <v/>
      </c>
      <c r="C232" s="31">
        <f>SUM(H232:Q232)</f>
        <v>0.0</v>
      </c>
      <c r="D232" s="31">
        <f>SUM(AB232:AK232)</f>
        <v>0.0</v>
      </c>
      <c r="E232" s="31">
        <f>C232-D232</f>
        <v>0.0</v>
      </c>
      <c r="F232" s="31">
        <f>SUM(R232:AA232)</f>
        <v>0.0</v>
      </c>
      <c r="G232" s="34" t="str">
        <f>IF(OR(A232="",$F$5&lt;=0),"",REPT("█",ROUND(20*F232/$F$5,0)))</f>
        <v/>
      </c>
      <c r="H232" s="31">
        <f>AL232+MIN(R231+AB232-AL232,MAX(0,ROUND(Долги!$D$19-SUM($AL232:$AU232),2)))</f>
        <v>0.0</v>
      </c>
      <c r="I232" s="31">
        <f>AM232+MIN(S231+AC232-AM232,MAX(0,ROUND(ROUND(Долги!$D$19-SUM($AL232:$AU232),2)-(SUM($H232:H232)-SUM($AL232:AL232)),2)))</f>
        <v>0.0</v>
      </c>
      <c r="J232" s="31">
        <f>AN232+MIN(T231+AD232-AN232,MAX(0,ROUND(ROUND(Долги!$D$19-SUM($AL232:$AU232),2)-(SUM($H232:I232)-SUM($AL232:AM232)),2)))</f>
        <v>0.0</v>
      </c>
      <c r="K232" s="31">
        <f>AO232+MIN(U231+AE232-AO232,MAX(0,ROUND(ROUND(Долги!$D$19-SUM($AL232:$AU232),2)-(SUM($H232:J232)-SUM($AL232:AN232)),2)))</f>
        <v>0.0</v>
      </c>
      <c r="L232" s="31">
        <f>AP232+MIN(V231+AF232-AP232,MAX(0,ROUND(ROUND(Долги!$D$19-SUM($AL232:$AU232),2)-(SUM($H232:K232)-SUM($AL232:AO232)),2)))</f>
        <v>0.0</v>
      </c>
      <c r="M232" s="31">
        <f>AQ232+MIN(W231+AG232-AQ232,MAX(0,ROUND(ROUND(Долги!$D$19-SUM($AL232:$AU232),2)-(SUM($H232:L232)-SUM($AL232:AP232)),2)))</f>
        <v>0.0</v>
      </c>
      <c r="N232" s="31">
        <f>AR232+MIN(X231+AH232-AR232,MAX(0,ROUND(ROUND(Долги!$D$19-SUM($AL232:$AU232),2)-(SUM($H232:M232)-SUM($AL232:AQ232)),2)))</f>
        <v>0.0</v>
      </c>
      <c r="O232" s="31">
        <f>AS232+MIN(Y231+AI232-AS232,MAX(0,ROUND(ROUND(Долги!$D$19-SUM($AL232:$AU232),2)-(SUM($H232:N232)-SUM($AL232:AR232)),2)))</f>
        <v>0.0</v>
      </c>
      <c r="P232" s="31">
        <f>AT232+MIN(Z231+AJ232-AT232,MAX(0,ROUND(ROUND(Долги!$D$19-SUM($AL232:$AU232),2)-(SUM($H232:O232)-SUM($AL232:AS232)),2)))</f>
        <v>0.0</v>
      </c>
      <c r="Q232" s="31">
        <f>AU232+MIN(AA231+AK232-AU232,MAX(0,ROUND(ROUND(Долги!$D$19-SUM($AL232:$AU232),2)-(SUM($H232:P232)-SUM($AL232:AT232)),2)))</f>
        <v>0.0</v>
      </c>
      <c r="R232" s="31">
        <f>IF(R231+AB232-H232&lt;=0.01,0,ROUND(R231+AB232-H232,2))</f>
        <v>0.0</v>
      </c>
      <c r="S232" s="31">
        <f>IF(S231+AC232-I232&lt;=0.01,0,ROUND(S231+AC232-I232,2))</f>
        <v>0.0</v>
      </c>
      <c r="T232" s="31">
        <f>IF(T231+AD232-J232&lt;=0.01,0,ROUND(T231+AD232-J232,2))</f>
        <v>0.0</v>
      </c>
      <c r="U232" s="31">
        <f>IF(U231+AE232-K232&lt;=0.01,0,ROUND(U231+AE232-K232,2))</f>
        <v>0.0</v>
      </c>
      <c r="V232" s="31">
        <f>IF(V231+AF232-L232&lt;=0.01,0,ROUND(V231+AF232-L232,2))</f>
        <v>0.0</v>
      </c>
      <c r="W232" s="31">
        <f>IF(W231+AG232-M232&lt;=0.01,0,ROUND(W231+AG232-M232,2))</f>
        <v>0.0</v>
      </c>
      <c r="X232" s="31">
        <f>IF(X231+AH232-N232&lt;=0.01,0,ROUND(X231+AH232-N232,2))</f>
        <v>0.0</v>
      </c>
      <c r="Y232" s="31">
        <f>IF(Y231+AI232-O232&lt;=0.01,0,ROUND(Y231+AI232-O232,2))</f>
        <v>0.0</v>
      </c>
      <c r="Z232" s="31">
        <f>IF(Z231+AJ232-P232&lt;=0.01,0,ROUND(Z231+AJ232-P232,2))</f>
        <v>0.0</v>
      </c>
      <c r="AA232" s="31">
        <f>IF(AA231+AK232-Q232&lt;=0.01,0,ROUND(AA231+AK232-Q232,2))</f>
        <v>0.0</v>
      </c>
      <c r="AB232" s="31">
        <f>ROUND(R231*AB$5/1200,2)</f>
        <v>0.0</v>
      </c>
      <c r="AC232" s="31">
        <f>ROUND(S231*AC$5/1200,2)</f>
        <v>0.0</v>
      </c>
      <c r="AD232" s="31">
        <f>ROUND(T231*AD$5/1200,2)</f>
        <v>0.0</v>
      </c>
      <c r="AE232" s="31">
        <f>ROUND(U231*AE$5/1200,2)</f>
        <v>0.0</v>
      </c>
      <c r="AF232" s="31">
        <f>ROUND(V231*AF$5/1200,2)</f>
        <v>0.0</v>
      </c>
      <c r="AG232" s="31">
        <f>ROUND(W231*AG$5/1200,2)</f>
        <v>0.0</v>
      </c>
      <c r="AH232" s="31">
        <f>ROUND(X231*AH$5/1200,2)</f>
        <v>0.0</v>
      </c>
      <c r="AI232" s="31">
        <f>ROUND(Y231*AI$5/1200,2)</f>
        <v>0.0</v>
      </c>
      <c r="AJ232" s="31">
        <f>ROUND(Z231*AJ$5/1200,2)</f>
        <v>0.0</v>
      </c>
      <c r="AK232" s="31">
        <f>ROUND(AA231*AK$5/1200,2)</f>
        <v>0.0</v>
      </c>
      <c r="AL232" s="31">
        <f>MIN(AL$5,R231+AB232)</f>
        <v>0.0</v>
      </c>
      <c r="AM232" s="31">
        <f>MIN(AM$5,S231+AC232)</f>
        <v>0.0</v>
      </c>
      <c r="AN232" s="31">
        <f>MIN(AN$5,T231+AD232)</f>
        <v>0.0</v>
      </c>
      <c r="AO232" s="31">
        <f>MIN(AO$5,U231+AE232)</f>
        <v>0.0</v>
      </c>
      <c r="AP232" s="31">
        <f>MIN(AP$5,V231+AF232)</f>
        <v>0.0</v>
      </c>
      <c r="AQ232" s="31">
        <f>MIN(AQ$5,W231+AG232)</f>
        <v>0.0</v>
      </c>
      <c r="AR232" s="31">
        <f>MIN(AR$5,X231+AH232)</f>
        <v>0.0</v>
      </c>
      <c r="AS232" s="31">
        <f>MIN(AS$5,Y231+AI232)</f>
        <v>0.0</v>
      </c>
      <c r="AT232" s="31">
        <f>MIN(AT$5,Z231+AJ232)</f>
        <v>0.0</v>
      </c>
      <c r="AU232" s="31">
        <f>MIN(AU$5,AA231+AK232)</f>
        <v>0.0</v>
      </c>
    </row>
    <row r="233">
      <c r="A233" s="25" t="str">
        <f>IF(F232&gt;0.005,228,"")</f>
        <v/>
      </c>
      <c r="B233" s="33" t="str">
        <f>IF(A233="","",EDATE(Долги!$D$5,227))</f>
        <v/>
      </c>
      <c r="C233" s="31">
        <f>SUM(H233:Q233)</f>
        <v>0.0</v>
      </c>
      <c r="D233" s="31">
        <f>SUM(AB233:AK233)</f>
        <v>0.0</v>
      </c>
      <c r="E233" s="31">
        <f>C233-D233</f>
        <v>0.0</v>
      </c>
      <c r="F233" s="31">
        <f>SUM(R233:AA233)</f>
        <v>0.0</v>
      </c>
      <c r="G233" s="34" t="str">
        <f>IF(OR(A233="",$F$5&lt;=0),"",REPT("█",ROUND(20*F233/$F$5,0)))</f>
        <v/>
      </c>
      <c r="H233" s="31">
        <f>AL233+MIN(R232+AB233-AL233,MAX(0,ROUND(Долги!$D$19-SUM($AL233:$AU233),2)))</f>
        <v>0.0</v>
      </c>
      <c r="I233" s="31">
        <f>AM233+MIN(S232+AC233-AM233,MAX(0,ROUND(ROUND(Долги!$D$19-SUM($AL233:$AU233),2)-(SUM($H233:H233)-SUM($AL233:AL233)),2)))</f>
        <v>0.0</v>
      </c>
      <c r="J233" s="31">
        <f>AN233+MIN(T232+AD233-AN233,MAX(0,ROUND(ROUND(Долги!$D$19-SUM($AL233:$AU233),2)-(SUM($H233:I233)-SUM($AL233:AM233)),2)))</f>
        <v>0.0</v>
      </c>
      <c r="K233" s="31">
        <f>AO233+MIN(U232+AE233-AO233,MAX(0,ROUND(ROUND(Долги!$D$19-SUM($AL233:$AU233),2)-(SUM($H233:J233)-SUM($AL233:AN233)),2)))</f>
        <v>0.0</v>
      </c>
      <c r="L233" s="31">
        <f>AP233+MIN(V232+AF233-AP233,MAX(0,ROUND(ROUND(Долги!$D$19-SUM($AL233:$AU233),2)-(SUM($H233:K233)-SUM($AL233:AO233)),2)))</f>
        <v>0.0</v>
      </c>
      <c r="M233" s="31">
        <f>AQ233+MIN(W232+AG233-AQ233,MAX(0,ROUND(ROUND(Долги!$D$19-SUM($AL233:$AU233),2)-(SUM($H233:L233)-SUM($AL233:AP233)),2)))</f>
        <v>0.0</v>
      </c>
      <c r="N233" s="31">
        <f>AR233+MIN(X232+AH233-AR233,MAX(0,ROUND(ROUND(Долги!$D$19-SUM($AL233:$AU233),2)-(SUM($H233:M233)-SUM($AL233:AQ233)),2)))</f>
        <v>0.0</v>
      </c>
      <c r="O233" s="31">
        <f>AS233+MIN(Y232+AI233-AS233,MAX(0,ROUND(ROUND(Долги!$D$19-SUM($AL233:$AU233),2)-(SUM($H233:N233)-SUM($AL233:AR233)),2)))</f>
        <v>0.0</v>
      </c>
      <c r="P233" s="31">
        <f>AT233+MIN(Z232+AJ233-AT233,MAX(0,ROUND(ROUND(Долги!$D$19-SUM($AL233:$AU233),2)-(SUM($H233:O233)-SUM($AL233:AS233)),2)))</f>
        <v>0.0</v>
      </c>
      <c r="Q233" s="31">
        <f>AU233+MIN(AA232+AK233-AU233,MAX(0,ROUND(ROUND(Долги!$D$19-SUM($AL233:$AU233),2)-(SUM($H233:P233)-SUM($AL233:AT233)),2)))</f>
        <v>0.0</v>
      </c>
      <c r="R233" s="31">
        <f>IF(R232+AB233-H233&lt;=0.01,0,ROUND(R232+AB233-H233,2))</f>
        <v>0.0</v>
      </c>
      <c r="S233" s="31">
        <f>IF(S232+AC233-I233&lt;=0.01,0,ROUND(S232+AC233-I233,2))</f>
        <v>0.0</v>
      </c>
      <c r="T233" s="31">
        <f>IF(T232+AD233-J233&lt;=0.01,0,ROUND(T232+AD233-J233,2))</f>
        <v>0.0</v>
      </c>
      <c r="U233" s="31">
        <f>IF(U232+AE233-K233&lt;=0.01,0,ROUND(U232+AE233-K233,2))</f>
        <v>0.0</v>
      </c>
      <c r="V233" s="31">
        <f>IF(V232+AF233-L233&lt;=0.01,0,ROUND(V232+AF233-L233,2))</f>
        <v>0.0</v>
      </c>
      <c r="W233" s="31">
        <f>IF(W232+AG233-M233&lt;=0.01,0,ROUND(W232+AG233-M233,2))</f>
        <v>0.0</v>
      </c>
      <c r="X233" s="31">
        <f>IF(X232+AH233-N233&lt;=0.01,0,ROUND(X232+AH233-N233,2))</f>
        <v>0.0</v>
      </c>
      <c r="Y233" s="31">
        <f>IF(Y232+AI233-O233&lt;=0.01,0,ROUND(Y232+AI233-O233,2))</f>
        <v>0.0</v>
      </c>
      <c r="Z233" s="31">
        <f>IF(Z232+AJ233-P233&lt;=0.01,0,ROUND(Z232+AJ233-P233,2))</f>
        <v>0.0</v>
      </c>
      <c r="AA233" s="31">
        <f>IF(AA232+AK233-Q233&lt;=0.01,0,ROUND(AA232+AK233-Q233,2))</f>
        <v>0.0</v>
      </c>
      <c r="AB233" s="31">
        <f>ROUND(R232*AB$5/1200,2)</f>
        <v>0.0</v>
      </c>
      <c r="AC233" s="31">
        <f>ROUND(S232*AC$5/1200,2)</f>
        <v>0.0</v>
      </c>
      <c r="AD233" s="31">
        <f>ROUND(T232*AD$5/1200,2)</f>
        <v>0.0</v>
      </c>
      <c r="AE233" s="31">
        <f>ROUND(U232*AE$5/1200,2)</f>
        <v>0.0</v>
      </c>
      <c r="AF233" s="31">
        <f>ROUND(V232*AF$5/1200,2)</f>
        <v>0.0</v>
      </c>
      <c r="AG233" s="31">
        <f>ROUND(W232*AG$5/1200,2)</f>
        <v>0.0</v>
      </c>
      <c r="AH233" s="31">
        <f>ROUND(X232*AH$5/1200,2)</f>
        <v>0.0</v>
      </c>
      <c r="AI233" s="31">
        <f>ROUND(Y232*AI$5/1200,2)</f>
        <v>0.0</v>
      </c>
      <c r="AJ233" s="31">
        <f>ROUND(Z232*AJ$5/1200,2)</f>
        <v>0.0</v>
      </c>
      <c r="AK233" s="31">
        <f>ROUND(AA232*AK$5/1200,2)</f>
        <v>0.0</v>
      </c>
      <c r="AL233" s="31">
        <f>MIN(AL$5,R232+AB233)</f>
        <v>0.0</v>
      </c>
      <c r="AM233" s="31">
        <f>MIN(AM$5,S232+AC233)</f>
        <v>0.0</v>
      </c>
      <c r="AN233" s="31">
        <f>MIN(AN$5,T232+AD233)</f>
        <v>0.0</v>
      </c>
      <c r="AO233" s="31">
        <f>MIN(AO$5,U232+AE233)</f>
        <v>0.0</v>
      </c>
      <c r="AP233" s="31">
        <f>MIN(AP$5,V232+AF233)</f>
        <v>0.0</v>
      </c>
      <c r="AQ233" s="31">
        <f>MIN(AQ$5,W232+AG233)</f>
        <v>0.0</v>
      </c>
      <c r="AR233" s="31">
        <f>MIN(AR$5,X232+AH233)</f>
        <v>0.0</v>
      </c>
      <c r="AS233" s="31">
        <f>MIN(AS$5,Y232+AI233)</f>
        <v>0.0</v>
      </c>
      <c r="AT233" s="31">
        <f>MIN(AT$5,Z232+AJ233)</f>
        <v>0.0</v>
      </c>
      <c r="AU233" s="31">
        <f>MIN(AU$5,AA232+AK233)</f>
        <v>0.0</v>
      </c>
    </row>
    <row r="234">
      <c r="A234" s="25" t="str">
        <f>IF(F233&gt;0.005,229,"")</f>
        <v/>
      </c>
      <c r="B234" s="33" t="str">
        <f>IF(A234="","",EDATE(Долги!$D$5,228))</f>
        <v/>
      </c>
      <c r="C234" s="31">
        <f>SUM(H234:Q234)</f>
        <v>0.0</v>
      </c>
      <c r="D234" s="31">
        <f>SUM(AB234:AK234)</f>
        <v>0.0</v>
      </c>
      <c r="E234" s="31">
        <f>C234-D234</f>
        <v>0.0</v>
      </c>
      <c r="F234" s="31">
        <f>SUM(R234:AA234)</f>
        <v>0.0</v>
      </c>
      <c r="G234" s="34" t="str">
        <f>IF(OR(A234="",$F$5&lt;=0),"",REPT("█",ROUND(20*F234/$F$5,0)))</f>
        <v/>
      </c>
      <c r="H234" s="31">
        <f>AL234+MIN(R233+AB234-AL234,MAX(0,ROUND(Долги!$D$19-SUM($AL234:$AU234),2)))</f>
        <v>0.0</v>
      </c>
      <c r="I234" s="31">
        <f>AM234+MIN(S233+AC234-AM234,MAX(0,ROUND(ROUND(Долги!$D$19-SUM($AL234:$AU234),2)-(SUM($H234:H234)-SUM($AL234:AL234)),2)))</f>
        <v>0.0</v>
      </c>
      <c r="J234" s="31">
        <f>AN234+MIN(T233+AD234-AN234,MAX(0,ROUND(ROUND(Долги!$D$19-SUM($AL234:$AU234),2)-(SUM($H234:I234)-SUM($AL234:AM234)),2)))</f>
        <v>0.0</v>
      </c>
      <c r="K234" s="31">
        <f>AO234+MIN(U233+AE234-AO234,MAX(0,ROUND(ROUND(Долги!$D$19-SUM($AL234:$AU234),2)-(SUM($H234:J234)-SUM($AL234:AN234)),2)))</f>
        <v>0.0</v>
      </c>
      <c r="L234" s="31">
        <f>AP234+MIN(V233+AF234-AP234,MAX(0,ROUND(ROUND(Долги!$D$19-SUM($AL234:$AU234),2)-(SUM($H234:K234)-SUM($AL234:AO234)),2)))</f>
        <v>0.0</v>
      </c>
      <c r="M234" s="31">
        <f>AQ234+MIN(W233+AG234-AQ234,MAX(0,ROUND(ROUND(Долги!$D$19-SUM($AL234:$AU234),2)-(SUM($H234:L234)-SUM($AL234:AP234)),2)))</f>
        <v>0.0</v>
      </c>
      <c r="N234" s="31">
        <f>AR234+MIN(X233+AH234-AR234,MAX(0,ROUND(ROUND(Долги!$D$19-SUM($AL234:$AU234),2)-(SUM($H234:M234)-SUM($AL234:AQ234)),2)))</f>
        <v>0.0</v>
      </c>
      <c r="O234" s="31">
        <f>AS234+MIN(Y233+AI234-AS234,MAX(0,ROUND(ROUND(Долги!$D$19-SUM($AL234:$AU234),2)-(SUM($H234:N234)-SUM($AL234:AR234)),2)))</f>
        <v>0.0</v>
      </c>
      <c r="P234" s="31">
        <f>AT234+MIN(Z233+AJ234-AT234,MAX(0,ROUND(ROUND(Долги!$D$19-SUM($AL234:$AU234),2)-(SUM($H234:O234)-SUM($AL234:AS234)),2)))</f>
        <v>0.0</v>
      </c>
      <c r="Q234" s="31">
        <f>AU234+MIN(AA233+AK234-AU234,MAX(0,ROUND(ROUND(Долги!$D$19-SUM($AL234:$AU234),2)-(SUM($H234:P234)-SUM($AL234:AT234)),2)))</f>
        <v>0.0</v>
      </c>
      <c r="R234" s="31">
        <f>IF(R233+AB234-H234&lt;=0.01,0,ROUND(R233+AB234-H234,2))</f>
        <v>0.0</v>
      </c>
      <c r="S234" s="31">
        <f>IF(S233+AC234-I234&lt;=0.01,0,ROUND(S233+AC234-I234,2))</f>
        <v>0.0</v>
      </c>
      <c r="T234" s="31">
        <f>IF(T233+AD234-J234&lt;=0.01,0,ROUND(T233+AD234-J234,2))</f>
        <v>0.0</v>
      </c>
      <c r="U234" s="31">
        <f>IF(U233+AE234-K234&lt;=0.01,0,ROUND(U233+AE234-K234,2))</f>
        <v>0.0</v>
      </c>
      <c r="V234" s="31">
        <f>IF(V233+AF234-L234&lt;=0.01,0,ROUND(V233+AF234-L234,2))</f>
        <v>0.0</v>
      </c>
      <c r="W234" s="31">
        <f>IF(W233+AG234-M234&lt;=0.01,0,ROUND(W233+AG234-M234,2))</f>
        <v>0.0</v>
      </c>
      <c r="X234" s="31">
        <f>IF(X233+AH234-N234&lt;=0.01,0,ROUND(X233+AH234-N234,2))</f>
        <v>0.0</v>
      </c>
      <c r="Y234" s="31">
        <f>IF(Y233+AI234-O234&lt;=0.01,0,ROUND(Y233+AI234-O234,2))</f>
        <v>0.0</v>
      </c>
      <c r="Z234" s="31">
        <f>IF(Z233+AJ234-P234&lt;=0.01,0,ROUND(Z233+AJ234-P234,2))</f>
        <v>0.0</v>
      </c>
      <c r="AA234" s="31">
        <f>IF(AA233+AK234-Q234&lt;=0.01,0,ROUND(AA233+AK234-Q234,2))</f>
        <v>0.0</v>
      </c>
      <c r="AB234" s="31">
        <f>ROUND(R233*AB$5/1200,2)</f>
        <v>0.0</v>
      </c>
      <c r="AC234" s="31">
        <f>ROUND(S233*AC$5/1200,2)</f>
        <v>0.0</v>
      </c>
      <c r="AD234" s="31">
        <f>ROUND(T233*AD$5/1200,2)</f>
        <v>0.0</v>
      </c>
      <c r="AE234" s="31">
        <f>ROUND(U233*AE$5/1200,2)</f>
        <v>0.0</v>
      </c>
      <c r="AF234" s="31">
        <f>ROUND(V233*AF$5/1200,2)</f>
        <v>0.0</v>
      </c>
      <c r="AG234" s="31">
        <f>ROUND(W233*AG$5/1200,2)</f>
        <v>0.0</v>
      </c>
      <c r="AH234" s="31">
        <f>ROUND(X233*AH$5/1200,2)</f>
        <v>0.0</v>
      </c>
      <c r="AI234" s="31">
        <f>ROUND(Y233*AI$5/1200,2)</f>
        <v>0.0</v>
      </c>
      <c r="AJ234" s="31">
        <f>ROUND(Z233*AJ$5/1200,2)</f>
        <v>0.0</v>
      </c>
      <c r="AK234" s="31">
        <f>ROUND(AA233*AK$5/1200,2)</f>
        <v>0.0</v>
      </c>
      <c r="AL234" s="31">
        <f>MIN(AL$5,R233+AB234)</f>
        <v>0.0</v>
      </c>
      <c r="AM234" s="31">
        <f>MIN(AM$5,S233+AC234)</f>
        <v>0.0</v>
      </c>
      <c r="AN234" s="31">
        <f>MIN(AN$5,T233+AD234)</f>
        <v>0.0</v>
      </c>
      <c r="AO234" s="31">
        <f>MIN(AO$5,U233+AE234)</f>
        <v>0.0</v>
      </c>
      <c r="AP234" s="31">
        <f>MIN(AP$5,V233+AF234)</f>
        <v>0.0</v>
      </c>
      <c r="AQ234" s="31">
        <f>MIN(AQ$5,W233+AG234)</f>
        <v>0.0</v>
      </c>
      <c r="AR234" s="31">
        <f>MIN(AR$5,X233+AH234)</f>
        <v>0.0</v>
      </c>
      <c r="AS234" s="31">
        <f>MIN(AS$5,Y233+AI234)</f>
        <v>0.0</v>
      </c>
      <c r="AT234" s="31">
        <f>MIN(AT$5,Z233+AJ234)</f>
        <v>0.0</v>
      </c>
      <c r="AU234" s="31">
        <f>MIN(AU$5,AA233+AK234)</f>
        <v>0.0</v>
      </c>
    </row>
    <row r="235">
      <c r="A235" s="25" t="str">
        <f>IF(F234&gt;0.005,230,"")</f>
        <v/>
      </c>
      <c r="B235" s="33" t="str">
        <f>IF(A235="","",EDATE(Долги!$D$5,229))</f>
        <v/>
      </c>
      <c r="C235" s="31">
        <f>SUM(H235:Q235)</f>
        <v>0.0</v>
      </c>
      <c r="D235" s="31">
        <f>SUM(AB235:AK235)</f>
        <v>0.0</v>
      </c>
      <c r="E235" s="31">
        <f>C235-D235</f>
        <v>0.0</v>
      </c>
      <c r="F235" s="31">
        <f>SUM(R235:AA235)</f>
        <v>0.0</v>
      </c>
      <c r="G235" s="34" t="str">
        <f>IF(OR(A235="",$F$5&lt;=0),"",REPT("█",ROUND(20*F235/$F$5,0)))</f>
        <v/>
      </c>
      <c r="H235" s="31">
        <f>AL235+MIN(R234+AB235-AL235,MAX(0,ROUND(Долги!$D$19-SUM($AL235:$AU235),2)))</f>
        <v>0.0</v>
      </c>
      <c r="I235" s="31">
        <f>AM235+MIN(S234+AC235-AM235,MAX(0,ROUND(ROUND(Долги!$D$19-SUM($AL235:$AU235),2)-(SUM($H235:H235)-SUM($AL235:AL235)),2)))</f>
        <v>0.0</v>
      </c>
      <c r="J235" s="31">
        <f>AN235+MIN(T234+AD235-AN235,MAX(0,ROUND(ROUND(Долги!$D$19-SUM($AL235:$AU235),2)-(SUM($H235:I235)-SUM($AL235:AM235)),2)))</f>
        <v>0.0</v>
      </c>
      <c r="K235" s="31">
        <f>AO235+MIN(U234+AE235-AO235,MAX(0,ROUND(ROUND(Долги!$D$19-SUM($AL235:$AU235),2)-(SUM($H235:J235)-SUM($AL235:AN235)),2)))</f>
        <v>0.0</v>
      </c>
      <c r="L235" s="31">
        <f>AP235+MIN(V234+AF235-AP235,MAX(0,ROUND(ROUND(Долги!$D$19-SUM($AL235:$AU235),2)-(SUM($H235:K235)-SUM($AL235:AO235)),2)))</f>
        <v>0.0</v>
      </c>
      <c r="M235" s="31">
        <f>AQ235+MIN(W234+AG235-AQ235,MAX(0,ROUND(ROUND(Долги!$D$19-SUM($AL235:$AU235),2)-(SUM($H235:L235)-SUM($AL235:AP235)),2)))</f>
        <v>0.0</v>
      </c>
      <c r="N235" s="31">
        <f>AR235+MIN(X234+AH235-AR235,MAX(0,ROUND(ROUND(Долги!$D$19-SUM($AL235:$AU235),2)-(SUM($H235:M235)-SUM($AL235:AQ235)),2)))</f>
        <v>0.0</v>
      </c>
      <c r="O235" s="31">
        <f>AS235+MIN(Y234+AI235-AS235,MAX(0,ROUND(ROUND(Долги!$D$19-SUM($AL235:$AU235),2)-(SUM($H235:N235)-SUM($AL235:AR235)),2)))</f>
        <v>0.0</v>
      </c>
      <c r="P235" s="31">
        <f>AT235+MIN(Z234+AJ235-AT235,MAX(0,ROUND(ROUND(Долги!$D$19-SUM($AL235:$AU235),2)-(SUM($H235:O235)-SUM($AL235:AS235)),2)))</f>
        <v>0.0</v>
      </c>
      <c r="Q235" s="31">
        <f>AU235+MIN(AA234+AK235-AU235,MAX(0,ROUND(ROUND(Долги!$D$19-SUM($AL235:$AU235),2)-(SUM($H235:P235)-SUM($AL235:AT235)),2)))</f>
        <v>0.0</v>
      </c>
      <c r="R235" s="31">
        <f>IF(R234+AB235-H235&lt;=0.01,0,ROUND(R234+AB235-H235,2))</f>
        <v>0.0</v>
      </c>
      <c r="S235" s="31">
        <f>IF(S234+AC235-I235&lt;=0.01,0,ROUND(S234+AC235-I235,2))</f>
        <v>0.0</v>
      </c>
      <c r="T235" s="31">
        <f>IF(T234+AD235-J235&lt;=0.01,0,ROUND(T234+AD235-J235,2))</f>
        <v>0.0</v>
      </c>
      <c r="U235" s="31">
        <f>IF(U234+AE235-K235&lt;=0.01,0,ROUND(U234+AE235-K235,2))</f>
        <v>0.0</v>
      </c>
      <c r="V235" s="31">
        <f>IF(V234+AF235-L235&lt;=0.01,0,ROUND(V234+AF235-L235,2))</f>
        <v>0.0</v>
      </c>
      <c r="W235" s="31">
        <f>IF(W234+AG235-M235&lt;=0.01,0,ROUND(W234+AG235-M235,2))</f>
        <v>0.0</v>
      </c>
      <c r="X235" s="31">
        <f>IF(X234+AH235-N235&lt;=0.01,0,ROUND(X234+AH235-N235,2))</f>
        <v>0.0</v>
      </c>
      <c r="Y235" s="31">
        <f>IF(Y234+AI235-O235&lt;=0.01,0,ROUND(Y234+AI235-O235,2))</f>
        <v>0.0</v>
      </c>
      <c r="Z235" s="31">
        <f>IF(Z234+AJ235-P235&lt;=0.01,0,ROUND(Z234+AJ235-P235,2))</f>
        <v>0.0</v>
      </c>
      <c r="AA235" s="31">
        <f>IF(AA234+AK235-Q235&lt;=0.01,0,ROUND(AA234+AK235-Q235,2))</f>
        <v>0.0</v>
      </c>
      <c r="AB235" s="31">
        <f>ROUND(R234*AB$5/1200,2)</f>
        <v>0.0</v>
      </c>
      <c r="AC235" s="31">
        <f>ROUND(S234*AC$5/1200,2)</f>
        <v>0.0</v>
      </c>
      <c r="AD235" s="31">
        <f>ROUND(T234*AD$5/1200,2)</f>
        <v>0.0</v>
      </c>
      <c r="AE235" s="31">
        <f>ROUND(U234*AE$5/1200,2)</f>
        <v>0.0</v>
      </c>
      <c r="AF235" s="31">
        <f>ROUND(V234*AF$5/1200,2)</f>
        <v>0.0</v>
      </c>
      <c r="AG235" s="31">
        <f>ROUND(W234*AG$5/1200,2)</f>
        <v>0.0</v>
      </c>
      <c r="AH235" s="31">
        <f>ROUND(X234*AH$5/1200,2)</f>
        <v>0.0</v>
      </c>
      <c r="AI235" s="31">
        <f>ROUND(Y234*AI$5/1200,2)</f>
        <v>0.0</v>
      </c>
      <c r="AJ235" s="31">
        <f>ROUND(Z234*AJ$5/1200,2)</f>
        <v>0.0</v>
      </c>
      <c r="AK235" s="31">
        <f>ROUND(AA234*AK$5/1200,2)</f>
        <v>0.0</v>
      </c>
      <c r="AL235" s="31">
        <f>MIN(AL$5,R234+AB235)</f>
        <v>0.0</v>
      </c>
      <c r="AM235" s="31">
        <f>MIN(AM$5,S234+AC235)</f>
        <v>0.0</v>
      </c>
      <c r="AN235" s="31">
        <f>MIN(AN$5,T234+AD235)</f>
        <v>0.0</v>
      </c>
      <c r="AO235" s="31">
        <f>MIN(AO$5,U234+AE235)</f>
        <v>0.0</v>
      </c>
      <c r="AP235" s="31">
        <f>MIN(AP$5,V234+AF235)</f>
        <v>0.0</v>
      </c>
      <c r="AQ235" s="31">
        <f>MIN(AQ$5,W234+AG235)</f>
        <v>0.0</v>
      </c>
      <c r="AR235" s="31">
        <f>MIN(AR$5,X234+AH235)</f>
        <v>0.0</v>
      </c>
      <c r="AS235" s="31">
        <f>MIN(AS$5,Y234+AI235)</f>
        <v>0.0</v>
      </c>
      <c r="AT235" s="31">
        <f>MIN(AT$5,Z234+AJ235)</f>
        <v>0.0</v>
      </c>
      <c r="AU235" s="31">
        <f>MIN(AU$5,AA234+AK235)</f>
        <v>0.0</v>
      </c>
    </row>
    <row r="236">
      <c r="A236" s="25" t="str">
        <f>IF(F235&gt;0.005,231,"")</f>
        <v/>
      </c>
      <c r="B236" s="33" t="str">
        <f>IF(A236="","",EDATE(Долги!$D$5,230))</f>
        <v/>
      </c>
      <c r="C236" s="31">
        <f>SUM(H236:Q236)</f>
        <v>0.0</v>
      </c>
      <c r="D236" s="31">
        <f>SUM(AB236:AK236)</f>
        <v>0.0</v>
      </c>
      <c r="E236" s="31">
        <f>C236-D236</f>
        <v>0.0</v>
      </c>
      <c r="F236" s="31">
        <f>SUM(R236:AA236)</f>
        <v>0.0</v>
      </c>
      <c r="G236" s="34" t="str">
        <f>IF(OR(A236="",$F$5&lt;=0),"",REPT("█",ROUND(20*F236/$F$5,0)))</f>
        <v/>
      </c>
      <c r="H236" s="31">
        <f>AL236+MIN(R235+AB236-AL236,MAX(0,ROUND(Долги!$D$19-SUM($AL236:$AU236),2)))</f>
        <v>0.0</v>
      </c>
      <c r="I236" s="31">
        <f>AM236+MIN(S235+AC236-AM236,MAX(0,ROUND(ROUND(Долги!$D$19-SUM($AL236:$AU236),2)-(SUM($H236:H236)-SUM($AL236:AL236)),2)))</f>
        <v>0.0</v>
      </c>
      <c r="J236" s="31">
        <f>AN236+MIN(T235+AD236-AN236,MAX(0,ROUND(ROUND(Долги!$D$19-SUM($AL236:$AU236),2)-(SUM($H236:I236)-SUM($AL236:AM236)),2)))</f>
        <v>0.0</v>
      </c>
      <c r="K236" s="31">
        <f>AO236+MIN(U235+AE236-AO236,MAX(0,ROUND(ROUND(Долги!$D$19-SUM($AL236:$AU236),2)-(SUM($H236:J236)-SUM($AL236:AN236)),2)))</f>
        <v>0.0</v>
      </c>
      <c r="L236" s="31">
        <f>AP236+MIN(V235+AF236-AP236,MAX(0,ROUND(ROUND(Долги!$D$19-SUM($AL236:$AU236),2)-(SUM($H236:K236)-SUM($AL236:AO236)),2)))</f>
        <v>0.0</v>
      </c>
      <c r="M236" s="31">
        <f>AQ236+MIN(W235+AG236-AQ236,MAX(0,ROUND(ROUND(Долги!$D$19-SUM($AL236:$AU236),2)-(SUM($H236:L236)-SUM($AL236:AP236)),2)))</f>
        <v>0.0</v>
      </c>
      <c r="N236" s="31">
        <f>AR236+MIN(X235+AH236-AR236,MAX(0,ROUND(ROUND(Долги!$D$19-SUM($AL236:$AU236),2)-(SUM($H236:M236)-SUM($AL236:AQ236)),2)))</f>
        <v>0.0</v>
      </c>
      <c r="O236" s="31">
        <f>AS236+MIN(Y235+AI236-AS236,MAX(0,ROUND(ROUND(Долги!$D$19-SUM($AL236:$AU236),2)-(SUM($H236:N236)-SUM($AL236:AR236)),2)))</f>
        <v>0.0</v>
      </c>
      <c r="P236" s="31">
        <f>AT236+MIN(Z235+AJ236-AT236,MAX(0,ROUND(ROUND(Долги!$D$19-SUM($AL236:$AU236),2)-(SUM($H236:O236)-SUM($AL236:AS236)),2)))</f>
        <v>0.0</v>
      </c>
      <c r="Q236" s="31">
        <f>AU236+MIN(AA235+AK236-AU236,MAX(0,ROUND(ROUND(Долги!$D$19-SUM($AL236:$AU236),2)-(SUM($H236:P236)-SUM($AL236:AT236)),2)))</f>
        <v>0.0</v>
      </c>
      <c r="R236" s="31">
        <f>IF(R235+AB236-H236&lt;=0.01,0,ROUND(R235+AB236-H236,2))</f>
        <v>0.0</v>
      </c>
      <c r="S236" s="31">
        <f>IF(S235+AC236-I236&lt;=0.01,0,ROUND(S235+AC236-I236,2))</f>
        <v>0.0</v>
      </c>
      <c r="T236" s="31">
        <f>IF(T235+AD236-J236&lt;=0.01,0,ROUND(T235+AD236-J236,2))</f>
        <v>0.0</v>
      </c>
      <c r="U236" s="31">
        <f>IF(U235+AE236-K236&lt;=0.01,0,ROUND(U235+AE236-K236,2))</f>
        <v>0.0</v>
      </c>
      <c r="V236" s="31">
        <f>IF(V235+AF236-L236&lt;=0.01,0,ROUND(V235+AF236-L236,2))</f>
        <v>0.0</v>
      </c>
      <c r="W236" s="31">
        <f>IF(W235+AG236-M236&lt;=0.01,0,ROUND(W235+AG236-M236,2))</f>
        <v>0.0</v>
      </c>
      <c r="X236" s="31">
        <f>IF(X235+AH236-N236&lt;=0.01,0,ROUND(X235+AH236-N236,2))</f>
        <v>0.0</v>
      </c>
      <c r="Y236" s="31">
        <f>IF(Y235+AI236-O236&lt;=0.01,0,ROUND(Y235+AI236-O236,2))</f>
        <v>0.0</v>
      </c>
      <c r="Z236" s="31">
        <f>IF(Z235+AJ236-P236&lt;=0.01,0,ROUND(Z235+AJ236-P236,2))</f>
        <v>0.0</v>
      </c>
      <c r="AA236" s="31">
        <f>IF(AA235+AK236-Q236&lt;=0.01,0,ROUND(AA235+AK236-Q236,2))</f>
        <v>0.0</v>
      </c>
      <c r="AB236" s="31">
        <f>ROUND(R235*AB$5/1200,2)</f>
        <v>0.0</v>
      </c>
      <c r="AC236" s="31">
        <f>ROUND(S235*AC$5/1200,2)</f>
        <v>0.0</v>
      </c>
      <c r="AD236" s="31">
        <f>ROUND(T235*AD$5/1200,2)</f>
        <v>0.0</v>
      </c>
      <c r="AE236" s="31">
        <f>ROUND(U235*AE$5/1200,2)</f>
        <v>0.0</v>
      </c>
      <c r="AF236" s="31">
        <f>ROUND(V235*AF$5/1200,2)</f>
        <v>0.0</v>
      </c>
      <c r="AG236" s="31">
        <f>ROUND(W235*AG$5/1200,2)</f>
        <v>0.0</v>
      </c>
      <c r="AH236" s="31">
        <f>ROUND(X235*AH$5/1200,2)</f>
        <v>0.0</v>
      </c>
      <c r="AI236" s="31">
        <f>ROUND(Y235*AI$5/1200,2)</f>
        <v>0.0</v>
      </c>
      <c r="AJ236" s="31">
        <f>ROUND(Z235*AJ$5/1200,2)</f>
        <v>0.0</v>
      </c>
      <c r="AK236" s="31">
        <f>ROUND(AA235*AK$5/1200,2)</f>
        <v>0.0</v>
      </c>
      <c r="AL236" s="31">
        <f>MIN(AL$5,R235+AB236)</f>
        <v>0.0</v>
      </c>
      <c r="AM236" s="31">
        <f>MIN(AM$5,S235+AC236)</f>
        <v>0.0</v>
      </c>
      <c r="AN236" s="31">
        <f>MIN(AN$5,T235+AD236)</f>
        <v>0.0</v>
      </c>
      <c r="AO236" s="31">
        <f>MIN(AO$5,U235+AE236)</f>
        <v>0.0</v>
      </c>
      <c r="AP236" s="31">
        <f>MIN(AP$5,V235+AF236)</f>
        <v>0.0</v>
      </c>
      <c r="AQ236" s="31">
        <f>MIN(AQ$5,W235+AG236)</f>
        <v>0.0</v>
      </c>
      <c r="AR236" s="31">
        <f>MIN(AR$5,X235+AH236)</f>
        <v>0.0</v>
      </c>
      <c r="AS236" s="31">
        <f>MIN(AS$5,Y235+AI236)</f>
        <v>0.0</v>
      </c>
      <c r="AT236" s="31">
        <f>MIN(AT$5,Z235+AJ236)</f>
        <v>0.0</v>
      </c>
      <c r="AU236" s="31">
        <f>MIN(AU$5,AA235+AK236)</f>
        <v>0.0</v>
      </c>
    </row>
    <row r="237">
      <c r="A237" s="25" t="str">
        <f>IF(F236&gt;0.005,232,"")</f>
        <v/>
      </c>
      <c r="B237" s="33" t="str">
        <f>IF(A237="","",EDATE(Долги!$D$5,231))</f>
        <v/>
      </c>
      <c r="C237" s="31">
        <f>SUM(H237:Q237)</f>
        <v>0.0</v>
      </c>
      <c r="D237" s="31">
        <f>SUM(AB237:AK237)</f>
        <v>0.0</v>
      </c>
      <c r="E237" s="31">
        <f>C237-D237</f>
        <v>0.0</v>
      </c>
      <c r="F237" s="31">
        <f>SUM(R237:AA237)</f>
        <v>0.0</v>
      </c>
      <c r="G237" s="34" t="str">
        <f>IF(OR(A237="",$F$5&lt;=0),"",REPT("█",ROUND(20*F237/$F$5,0)))</f>
        <v/>
      </c>
      <c r="H237" s="31">
        <f>AL237+MIN(R236+AB237-AL237,MAX(0,ROUND(Долги!$D$19-SUM($AL237:$AU237),2)))</f>
        <v>0.0</v>
      </c>
      <c r="I237" s="31">
        <f>AM237+MIN(S236+AC237-AM237,MAX(0,ROUND(ROUND(Долги!$D$19-SUM($AL237:$AU237),2)-(SUM($H237:H237)-SUM($AL237:AL237)),2)))</f>
        <v>0.0</v>
      </c>
      <c r="J237" s="31">
        <f>AN237+MIN(T236+AD237-AN237,MAX(0,ROUND(ROUND(Долги!$D$19-SUM($AL237:$AU237),2)-(SUM($H237:I237)-SUM($AL237:AM237)),2)))</f>
        <v>0.0</v>
      </c>
      <c r="K237" s="31">
        <f>AO237+MIN(U236+AE237-AO237,MAX(0,ROUND(ROUND(Долги!$D$19-SUM($AL237:$AU237),2)-(SUM($H237:J237)-SUM($AL237:AN237)),2)))</f>
        <v>0.0</v>
      </c>
      <c r="L237" s="31">
        <f>AP237+MIN(V236+AF237-AP237,MAX(0,ROUND(ROUND(Долги!$D$19-SUM($AL237:$AU237),2)-(SUM($H237:K237)-SUM($AL237:AO237)),2)))</f>
        <v>0.0</v>
      </c>
      <c r="M237" s="31">
        <f>AQ237+MIN(W236+AG237-AQ237,MAX(0,ROUND(ROUND(Долги!$D$19-SUM($AL237:$AU237),2)-(SUM($H237:L237)-SUM($AL237:AP237)),2)))</f>
        <v>0.0</v>
      </c>
      <c r="N237" s="31">
        <f>AR237+MIN(X236+AH237-AR237,MAX(0,ROUND(ROUND(Долги!$D$19-SUM($AL237:$AU237),2)-(SUM($H237:M237)-SUM($AL237:AQ237)),2)))</f>
        <v>0.0</v>
      </c>
      <c r="O237" s="31">
        <f>AS237+MIN(Y236+AI237-AS237,MAX(0,ROUND(ROUND(Долги!$D$19-SUM($AL237:$AU237),2)-(SUM($H237:N237)-SUM($AL237:AR237)),2)))</f>
        <v>0.0</v>
      </c>
      <c r="P237" s="31">
        <f>AT237+MIN(Z236+AJ237-AT237,MAX(0,ROUND(ROUND(Долги!$D$19-SUM($AL237:$AU237),2)-(SUM($H237:O237)-SUM($AL237:AS237)),2)))</f>
        <v>0.0</v>
      </c>
      <c r="Q237" s="31">
        <f>AU237+MIN(AA236+AK237-AU237,MAX(0,ROUND(ROUND(Долги!$D$19-SUM($AL237:$AU237),2)-(SUM($H237:P237)-SUM($AL237:AT237)),2)))</f>
        <v>0.0</v>
      </c>
      <c r="R237" s="31">
        <f>IF(R236+AB237-H237&lt;=0.01,0,ROUND(R236+AB237-H237,2))</f>
        <v>0.0</v>
      </c>
      <c r="S237" s="31">
        <f>IF(S236+AC237-I237&lt;=0.01,0,ROUND(S236+AC237-I237,2))</f>
        <v>0.0</v>
      </c>
      <c r="T237" s="31">
        <f>IF(T236+AD237-J237&lt;=0.01,0,ROUND(T236+AD237-J237,2))</f>
        <v>0.0</v>
      </c>
      <c r="U237" s="31">
        <f>IF(U236+AE237-K237&lt;=0.01,0,ROUND(U236+AE237-K237,2))</f>
        <v>0.0</v>
      </c>
      <c r="V237" s="31">
        <f>IF(V236+AF237-L237&lt;=0.01,0,ROUND(V236+AF237-L237,2))</f>
        <v>0.0</v>
      </c>
      <c r="W237" s="31">
        <f>IF(W236+AG237-M237&lt;=0.01,0,ROUND(W236+AG237-M237,2))</f>
        <v>0.0</v>
      </c>
      <c r="X237" s="31">
        <f>IF(X236+AH237-N237&lt;=0.01,0,ROUND(X236+AH237-N237,2))</f>
        <v>0.0</v>
      </c>
      <c r="Y237" s="31">
        <f>IF(Y236+AI237-O237&lt;=0.01,0,ROUND(Y236+AI237-O237,2))</f>
        <v>0.0</v>
      </c>
      <c r="Z237" s="31">
        <f>IF(Z236+AJ237-P237&lt;=0.01,0,ROUND(Z236+AJ237-P237,2))</f>
        <v>0.0</v>
      </c>
      <c r="AA237" s="31">
        <f>IF(AA236+AK237-Q237&lt;=0.01,0,ROUND(AA236+AK237-Q237,2))</f>
        <v>0.0</v>
      </c>
      <c r="AB237" s="31">
        <f>ROUND(R236*AB$5/1200,2)</f>
        <v>0.0</v>
      </c>
      <c r="AC237" s="31">
        <f>ROUND(S236*AC$5/1200,2)</f>
        <v>0.0</v>
      </c>
      <c r="AD237" s="31">
        <f>ROUND(T236*AD$5/1200,2)</f>
        <v>0.0</v>
      </c>
      <c r="AE237" s="31">
        <f>ROUND(U236*AE$5/1200,2)</f>
        <v>0.0</v>
      </c>
      <c r="AF237" s="31">
        <f>ROUND(V236*AF$5/1200,2)</f>
        <v>0.0</v>
      </c>
      <c r="AG237" s="31">
        <f>ROUND(W236*AG$5/1200,2)</f>
        <v>0.0</v>
      </c>
      <c r="AH237" s="31">
        <f>ROUND(X236*AH$5/1200,2)</f>
        <v>0.0</v>
      </c>
      <c r="AI237" s="31">
        <f>ROUND(Y236*AI$5/1200,2)</f>
        <v>0.0</v>
      </c>
      <c r="AJ237" s="31">
        <f>ROUND(Z236*AJ$5/1200,2)</f>
        <v>0.0</v>
      </c>
      <c r="AK237" s="31">
        <f>ROUND(AA236*AK$5/1200,2)</f>
        <v>0.0</v>
      </c>
      <c r="AL237" s="31">
        <f>MIN(AL$5,R236+AB237)</f>
        <v>0.0</v>
      </c>
      <c r="AM237" s="31">
        <f>MIN(AM$5,S236+AC237)</f>
        <v>0.0</v>
      </c>
      <c r="AN237" s="31">
        <f>MIN(AN$5,T236+AD237)</f>
        <v>0.0</v>
      </c>
      <c r="AO237" s="31">
        <f>MIN(AO$5,U236+AE237)</f>
        <v>0.0</v>
      </c>
      <c r="AP237" s="31">
        <f>MIN(AP$5,V236+AF237)</f>
        <v>0.0</v>
      </c>
      <c r="AQ237" s="31">
        <f>MIN(AQ$5,W236+AG237)</f>
        <v>0.0</v>
      </c>
      <c r="AR237" s="31">
        <f>MIN(AR$5,X236+AH237)</f>
        <v>0.0</v>
      </c>
      <c r="AS237" s="31">
        <f>MIN(AS$5,Y236+AI237)</f>
        <v>0.0</v>
      </c>
      <c r="AT237" s="31">
        <f>MIN(AT$5,Z236+AJ237)</f>
        <v>0.0</v>
      </c>
      <c r="AU237" s="31">
        <f>MIN(AU$5,AA236+AK237)</f>
        <v>0.0</v>
      </c>
    </row>
    <row r="238">
      <c r="A238" s="25" t="str">
        <f>IF(F237&gt;0.005,233,"")</f>
        <v/>
      </c>
      <c r="B238" s="33" t="str">
        <f>IF(A238="","",EDATE(Долги!$D$5,232))</f>
        <v/>
      </c>
      <c r="C238" s="31">
        <f>SUM(H238:Q238)</f>
        <v>0.0</v>
      </c>
      <c r="D238" s="31">
        <f>SUM(AB238:AK238)</f>
        <v>0.0</v>
      </c>
      <c r="E238" s="31">
        <f>C238-D238</f>
        <v>0.0</v>
      </c>
      <c r="F238" s="31">
        <f>SUM(R238:AA238)</f>
        <v>0.0</v>
      </c>
      <c r="G238" s="34" t="str">
        <f>IF(OR(A238="",$F$5&lt;=0),"",REPT("█",ROUND(20*F238/$F$5,0)))</f>
        <v/>
      </c>
      <c r="H238" s="31">
        <f>AL238+MIN(R237+AB238-AL238,MAX(0,ROUND(Долги!$D$19-SUM($AL238:$AU238),2)))</f>
        <v>0.0</v>
      </c>
      <c r="I238" s="31">
        <f>AM238+MIN(S237+AC238-AM238,MAX(0,ROUND(ROUND(Долги!$D$19-SUM($AL238:$AU238),2)-(SUM($H238:H238)-SUM($AL238:AL238)),2)))</f>
        <v>0.0</v>
      </c>
      <c r="J238" s="31">
        <f>AN238+MIN(T237+AD238-AN238,MAX(0,ROUND(ROUND(Долги!$D$19-SUM($AL238:$AU238),2)-(SUM($H238:I238)-SUM($AL238:AM238)),2)))</f>
        <v>0.0</v>
      </c>
      <c r="K238" s="31">
        <f>AO238+MIN(U237+AE238-AO238,MAX(0,ROUND(ROUND(Долги!$D$19-SUM($AL238:$AU238),2)-(SUM($H238:J238)-SUM($AL238:AN238)),2)))</f>
        <v>0.0</v>
      </c>
      <c r="L238" s="31">
        <f>AP238+MIN(V237+AF238-AP238,MAX(0,ROUND(ROUND(Долги!$D$19-SUM($AL238:$AU238),2)-(SUM($H238:K238)-SUM($AL238:AO238)),2)))</f>
        <v>0.0</v>
      </c>
      <c r="M238" s="31">
        <f>AQ238+MIN(W237+AG238-AQ238,MAX(0,ROUND(ROUND(Долги!$D$19-SUM($AL238:$AU238),2)-(SUM($H238:L238)-SUM($AL238:AP238)),2)))</f>
        <v>0.0</v>
      </c>
      <c r="N238" s="31">
        <f>AR238+MIN(X237+AH238-AR238,MAX(0,ROUND(ROUND(Долги!$D$19-SUM($AL238:$AU238),2)-(SUM($H238:M238)-SUM($AL238:AQ238)),2)))</f>
        <v>0.0</v>
      </c>
      <c r="O238" s="31">
        <f>AS238+MIN(Y237+AI238-AS238,MAX(0,ROUND(ROUND(Долги!$D$19-SUM($AL238:$AU238),2)-(SUM($H238:N238)-SUM($AL238:AR238)),2)))</f>
        <v>0.0</v>
      </c>
      <c r="P238" s="31">
        <f>AT238+MIN(Z237+AJ238-AT238,MAX(0,ROUND(ROUND(Долги!$D$19-SUM($AL238:$AU238),2)-(SUM($H238:O238)-SUM($AL238:AS238)),2)))</f>
        <v>0.0</v>
      </c>
      <c r="Q238" s="31">
        <f>AU238+MIN(AA237+AK238-AU238,MAX(0,ROUND(ROUND(Долги!$D$19-SUM($AL238:$AU238),2)-(SUM($H238:P238)-SUM($AL238:AT238)),2)))</f>
        <v>0.0</v>
      </c>
      <c r="R238" s="31">
        <f>IF(R237+AB238-H238&lt;=0.01,0,ROUND(R237+AB238-H238,2))</f>
        <v>0.0</v>
      </c>
      <c r="S238" s="31">
        <f>IF(S237+AC238-I238&lt;=0.01,0,ROUND(S237+AC238-I238,2))</f>
        <v>0.0</v>
      </c>
      <c r="T238" s="31">
        <f>IF(T237+AD238-J238&lt;=0.01,0,ROUND(T237+AD238-J238,2))</f>
        <v>0.0</v>
      </c>
      <c r="U238" s="31">
        <f>IF(U237+AE238-K238&lt;=0.01,0,ROUND(U237+AE238-K238,2))</f>
        <v>0.0</v>
      </c>
      <c r="V238" s="31">
        <f>IF(V237+AF238-L238&lt;=0.01,0,ROUND(V237+AF238-L238,2))</f>
        <v>0.0</v>
      </c>
      <c r="W238" s="31">
        <f>IF(W237+AG238-M238&lt;=0.01,0,ROUND(W237+AG238-M238,2))</f>
        <v>0.0</v>
      </c>
      <c r="X238" s="31">
        <f>IF(X237+AH238-N238&lt;=0.01,0,ROUND(X237+AH238-N238,2))</f>
        <v>0.0</v>
      </c>
      <c r="Y238" s="31">
        <f>IF(Y237+AI238-O238&lt;=0.01,0,ROUND(Y237+AI238-O238,2))</f>
        <v>0.0</v>
      </c>
      <c r="Z238" s="31">
        <f>IF(Z237+AJ238-P238&lt;=0.01,0,ROUND(Z237+AJ238-P238,2))</f>
        <v>0.0</v>
      </c>
      <c r="AA238" s="31">
        <f>IF(AA237+AK238-Q238&lt;=0.01,0,ROUND(AA237+AK238-Q238,2))</f>
        <v>0.0</v>
      </c>
      <c r="AB238" s="31">
        <f>ROUND(R237*AB$5/1200,2)</f>
        <v>0.0</v>
      </c>
      <c r="AC238" s="31">
        <f>ROUND(S237*AC$5/1200,2)</f>
        <v>0.0</v>
      </c>
      <c r="AD238" s="31">
        <f>ROUND(T237*AD$5/1200,2)</f>
        <v>0.0</v>
      </c>
      <c r="AE238" s="31">
        <f>ROUND(U237*AE$5/1200,2)</f>
        <v>0.0</v>
      </c>
      <c r="AF238" s="31">
        <f>ROUND(V237*AF$5/1200,2)</f>
        <v>0.0</v>
      </c>
      <c r="AG238" s="31">
        <f>ROUND(W237*AG$5/1200,2)</f>
        <v>0.0</v>
      </c>
      <c r="AH238" s="31">
        <f>ROUND(X237*AH$5/1200,2)</f>
        <v>0.0</v>
      </c>
      <c r="AI238" s="31">
        <f>ROUND(Y237*AI$5/1200,2)</f>
        <v>0.0</v>
      </c>
      <c r="AJ238" s="31">
        <f>ROUND(Z237*AJ$5/1200,2)</f>
        <v>0.0</v>
      </c>
      <c r="AK238" s="31">
        <f>ROUND(AA237*AK$5/1200,2)</f>
        <v>0.0</v>
      </c>
      <c r="AL238" s="31">
        <f>MIN(AL$5,R237+AB238)</f>
        <v>0.0</v>
      </c>
      <c r="AM238" s="31">
        <f>MIN(AM$5,S237+AC238)</f>
        <v>0.0</v>
      </c>
      <c r="AN238" s="31">
        <f>MIN(AN$5,T237+AD238)</f>
        <v>0.0</v>
      </c>
      <c r="AO238" s="31">
        <f>MIN(AO$5,U237+AE238)</f>
        <v>0.0</v>
      </c>
      <c r="AP238" s="31">
        <f>MIN(AP$5,V237+AF238)</f>
        <v>0.0</v>
      </c>
      <c r="AQ238" s="31">
        <f>MIN(AQ$5,W237+AG238)</f>
        <v>0.0</v>
      </c>
      <c r="AR238" s="31">
        <f>MIN(AR$5,X237+AH238)</f>
        <v>0.0</v>
      </c>
      <c r="AS238" s="31">
        <f>MIN(AS$5,Y237+AI238)</f>
        <v>0.0</v>
      </c>
      <c r="AT238" s="31">
        <f>MIN(AT$5,Z237+AJ238)</f>
        <v>0.0</v>
      </c>
      <c r="AU238" s="31">
        <f>MIN(AU$5,AA237+AK238)</f>
        <v>0.0</v>
      </c>
    </row>
    <row r="239">
      <c r="A239" s="25" t="str">
        <f>IF(F238&gt;0.005,234,"")</f>
        <v/>
      </c>
      <c r="B239" s="33" t="str">
        <f>IF(A239="","",EDATE(Долги!$D$5,233))</f>
        <v/>
      </c>
      <c r="C239" s="31">
        <f>SUM(H239:Q239)</f>
        <v>0.0</v>
      </c>
      <c r="D239" s="31">
        <f>SUM(AB239:AK239)</f>
        <v>0.0</v>
      </c>
      <c r="E239" s="31">
        <f>C239-D239</f>
        <v>0.0</v>
      </c>
      <c r="F239" s="31">
        <f>SUM(R239:AA239)</f>
        <v>0.0</v>
      </c>
      <c r="G239" s="34" t="str">
        <f>IF(OR(A239="",$F$5&lt;=0),"",REPT("█",ROUND(20*F239/$F$5,0)))</f>
        <v/>
      </c>
      <c r="H239" s="31">
        <f>AL239+MIN(R238+AB239-AL239,MAX(0,ROUND(Долги!$D$19-SUM($AL239:$AU239),2)))</f>
        <v>0.0</v>
      </c>
      <c r="I239" s="31">
        <f>AM239+MIN(S238+AC239-AM239,MAX(0,ROUND(ROUND(Долги!$D$19-SUM($AL239:$AU239),2)-(SUM($H239:H239)-SUM($AL239:AL239)),2)))</f>
        <v>0.0</v>
      </c>
      <c r="J239" s="31">
        <f>AN239+MIN(T238+AD239-AN239,MAX(0,ROUND(ROUND(Долги!$D$19-SUM($AL239:$AU239),2)-(SUM($H239:I239)-SUM($AL239:AM239)),2)))</f>
        <v>0.0</v>
      </c>
      <c r="K239" s="31">
        <f>AO239+MIN(U238+AE239-AO239,MAX(0,ROUND(ROUND(Долги!$D$19-SUM($AL239:$AU239),2)-(SUM($H239:J239)-SUM($AL239:AN239)),2)))</f>
        <v>0.0</v>
      </c>
      <c r="L239" s="31">
        <f>AP239+MIN(V238+AF239-AP239,MAX(0,ROUND(ROUND(Долги!$D$19-SUM($AL239:$AU239),2)-(SUM($H239:K239)-SUM($AL239:AO239)),2)))</f>
        <v>0.0</v>
      </c>
      <c r="M239" s="31">
        <f>AQ239+MIN(W238+AG239-AQ239,MAX(0,ROUND(ROUND(Долги!$D$19-SUM($AL239:$AU239),2)-(SUM($H239:L239)-SUM($AL239:AP239)),2)))</f>
        <v>0.0</v>
      </c>
      <c r="N239" s="31">
        <f>AR239+MIN(X238+AH239-AR239,MAX(0,ROUND(ROUND(Долги!$D$19-SUM($AL239:$AU239),2)-(SUM($H239:M239)-SUM($AL239:AQ239)),2)))</f>
        <v>0.0</v>
      </c>
      <c r="O239" s="31">
        <f>AS239+MIN(Y238+AI239-AS239,MAX(0,ROUND(ROUND(Долги!$D$19-SUM($AL239:$AU239),2)-(SUM($H239:N239)-SUM($AL239:AR239)),2)))</f>
        <v>0.0</v>
      </c>
      <c r="P239" s="31">
        <f>AT239+MIN(Z238+AJ239-AT239,MAX(0,ROUND(ROUND(Долги!$D$19-SUM($AL239:$AU239),2)-(SUM($H239:O239)-SUM($AL239:AS239)),2)))</f>
        <v>0.0</v>
      </c>
      <c r="Q239" s="31">
        <f>AU239+MIN(AA238+AK239-AU239,MAX(0,ROUND(ROUND(Долги!$D$19-SUM($AL239:$AU239),2)-(SUM($H239:P239)-SUM($AL239:AT239)),2)))</f>
        <v>0.0</v>
      </c>
      <c r="R239" s="31">
        <f>IF(R238+AB239-H239&lt;=0.01,0,ROUND(R238+AB239-H239,2))</f>
        <v>0.0</v>
      </c>
      <c r="S239" s="31">
        <f>IF(S238+AC239-I239&lt;=0.01,0,ROUND(S238+AC239-I239,2))</f>
        <v>0.0</v>
      </c>
      <c r="T239" s="31">
        <f>IF(T238+AD239-J239&lt;=0.01,0,ROUND(T238+AD239-J239,2))</f>
        <v>0.0</v>
      </c>
      <c r="U239" s="31">
        <f>IF(U238+AE239-K239&lt;=0.01,0,ROUND(U238+AE239-K239,2))</f>
        <v>0.0</v>
      </c>
      <c r="V239" s="31">
        <f>IF(V238+AF239-L239&lt;=0.01,0,ROUND(V238+AF239-L239,2))</f>
        <v>0.0</v>
      </c>
      <c r="W239" s="31">
        <f>IF(W238+AG239-M239&lt;=0.01,0,ROUND(W238+AG239-M239,2))</f>
        <v>0.0</v>
      </c>
      <c r="X239" s="31">
        <f>IF(X238+AH239-N239&lt;=0.01,0,ROUND(X238+AH239-N239,2))</f>
        <v>0.0</v>
      </c>
      <c r="Y239" s="31">
        <f>IF(Y238+AI239-O239&lt;=0.01,0,ROUND(Y238+AI239-O239,2))</f>
        <v>0.0</v>
      </c>
      <c r="Z239" s="31">
        <f>IF(Z238+AJ239-P239&lt;=0.01,0,ROUND(Z238+AJ239-P239,2))</f>
        <v>0.0</v>
      </c>
      <c r="AA239" s="31">
        <f>IF(AA238+AK239-Q239&lt;=0.01,0,ROUND(AA238+AK239-Q239,2))</f>
        <v>0.0</v>
      </c>
      <c r="AB239" s="31">
        <f>ROUND(R238*AB$5/1200,2)</f>
        <v>0.0</v>
      </c>
      <c r="AC239" s="31">
        <f>ROUND(S238*AC$5/1200,2)</f>
        <v>0.0</v>
      </c>
      <c r="AD239" s="31">
        <f>ROUND(T238*AD$5/1200,2)</f>
        <v>0.0</v>
      </c>
      <c r="AE239" s="31">
        <f>ROUND(U238*AE$5/1200,2)</f>
        <v>0.0</v>
      </c>
      <c r="AF239" s="31">
        <f>ROUND(V238*AF$5/1200,2)</f>
        <v>0.0</v>
      </c>
      <c r="AG239" s="31">
        <f>ROUND(W238*AG$5/1200,2)</f>
        <v>0.0</v>
      </c>
      <c r="AH239" s="31">
        <f>ROUND(X238*AH$5/1200,2)</f>
        <v>0.0</v>
      </c>
      <c r="AI239" s="31">
        <f>ROUND(Y238*AI$5/1200,2)</f>
        <v>0.0</v>
      </c>
      <c r="AJ239" s="31">
        <f>ROUND(Z238*AJ$5/1200,2)</f>
        <v>0.0</v>
      </c>
      <c r="AK239" s="31">
        <f>ROUND(AA238*AK$5/1200,2)</f>
        <v>0.0</v>
      </c>
      <c r="AL239" s="31">
        <f>MIN(AL$5,R238+AB239)</f>
        <v>0.0</v>
      </c>
      <c r="AM239" s="31">
        <f>MIN(AM$5,S238+AC239)</f>
        <v>0.0</v>
      </c>
      <c r="AN239" s="31">
        <f>MIN(AN$5,T238+AD239)</f>
        <v>0.0</v>
      </c>
      <c r="AO239" s="31">
        <f>MIN(AO$5,U238+AE239)</f>
        <v>0.0</v>
      </c>
      <c r="AP239" s="31">
        <f>MIN(AP$5,V238+AF239)</f>
        <v>0.0</v>
      </c>
      <c r="AQ239" s="31">
        <f>MIN(AQ$5,W238+AG239)</f>
        <v>0.0</v>
      </c>
      <c r="AR239" s="31">
        <f>MIN(AR$5,X238+AH239)</f>
        <v>0.0</v>
      </c>
      <c r="AS239" s="31">
        <f>MIN(AS$5,Y238+AI239)</f>
        <v>0.0</v>
      </c>
      <c r="AT239" s="31">
        <f>MIN(AT$5,Z238+AJ239)</f>
        <v>0.0</v>
      </c>
      <c r="AU239" s="31">
        <f>MIN(AU$5,AA238+AK239)</f>
        <v>0.0</v>
      </c>
    </row>
    <row r="240">
      <c r="A240" s="25" t="str">
        <f>IF(F239&gt;0.005,235,"")</f>
        <v/>
      </c>
      <c r="B240" s="33" t="str">
        <f>IF(A240="","",EDATE(Долги!$D$5,234))</f>
        <v/>
      </c>
      <c r="C240" s="31">
        <f>SUM(H240:Q240)</f>
        <v>0.0</v>
      </c>
      <c r="D240" s="31">
        <f>SUM(AB240:AK240)</f>
        <v>0.0</v>
      </c>
      <c r="E240" s="31">
        <f>C240-D240</f>
        <v>0.0</v>
      </c>
      <c r="F240" s="31">
        <f>SUM(R240:AA240)</f>
        <v>0.0</v>
      </c>
      <c r="G240" s="34" t="str">
        <f>IF(OR(A240="",$F$5&lt;=0),"",REPT("█",ROUND(20*F240/$F$5,0)))</f>
        <v/>
      </c>
      <c r="H240" s="31">
        <f>AL240+MIN(R239+AB240-AL240,MAX(0,ROUND(Долги!$D$19-SUM($AL240:$AU240),2)))</f>
        <v>0.0</v>
      </c>
      <c r="I240" s="31">
        <f>AM240+MIN(S239+AC240-AM240,MAX(0,ROUND(ROUND(Долги!$D$19-SUM($AL240:$AU240),2)-(SUM($H240:H240)-SUM($AL240:AL240)),2)))</f>
        <v>0.0</v>
      </c>
      <c r="J240" s="31">
        <f>AN240+MIN(T239+AD240-AN240,MAX(0,ROUND(ROUND(Долги!$D$19-SUM($AL240:$AU240),2)-(SUM($H240:I240)-SUM($AL240:AM240)),2)))</f>
        <v>0.0</v>
      </c>
      <c r="K240" s="31">
        <f>AO240+MIN(U239+AE240-AO240,MAX(0,ROUND(ROUND(Долги!$D$19-SUM($AL240:$AU240),2)-(SUM($H240:J240)-SUM($AL240:AN240)),2)))</f>
        <v>0.0</v>
      </c>
      <c r="L240" s="31">
        <f>AP240+MIN(V239+AF240-AP240,MAX(0,ROUND(ROUND(Долги!$D$19-SUM($AL240:$AU240),2)-(SUM($H240:K240)-SUM($AL240:AO240)),2)))</f>
        <v>0.0</v>
      </c>
      <c r="M240" s="31">
        <f>AQ240+MIN(W239+AG240-AQ240,MAX(0,ROUND(ROUND(Долги!$D$19-SUM($AL240:$AU240),2)-(SUM($H240:L240)-SUM($AL240:AP240)),2)))</f>
        <v>0.0</v>
      </c>
      <c r="N240" s="31">
        <f>AR240+MIN(X239+AH240-AR240,MAX(0,ROUND(ROUND(Долги!$D$19-SUM($AL240:$AU240),2)-(SUM($H240:M240)-SUM($AL240:AQ240)),2)))</f>
        <v>0.0</v>
      </c>
      <c r="O240" s="31">
        <f>AS240+MIN(Y239+AI240-AS240,MAX(0,ROUND(ROUND(Долги!$D$19-SUM($AL240:$AU240),2)-(SUM($H240:N240)-SUM($AL240:AR240)),2)))</f>
        <v>0.0</v>
      </c>
      <c r="P240" s="31">
        <f>AT240+MIN(Z239+AJ240-AT240,MAX(0,ROUND(ROUND(Долги!$D$19-SUM($AL240:$AU240),2)-(SUM($H240:O240)-SUM($AL240:AS240)),2)))</f>
        <v>0.0</v>
      </c>
      <c r="Q240" s="31">
        <f>AU240+MIN(AA239+AK240-AU240,MAX(0,ROUND(ROUND(Долги!$D$19-SUM($AL240:$AU240),2)-(SUM($H240:P240)-SUM($AL240:AT240)),2)))</f>
        <v>0.0</v>
      </c>
      <c r="R240" s="31">
        <f>IF(R239+AB240-H240&lt;=0.01,0,ROUND(R239+AB240-H240,2))</f>
        <v>0.0</v>
      </c>
      <c r="S240" s="31">
        <f>IF(S239+AC240-I240&lt;=0.01,0,ROUND(S239+AC240-I240,2))</f>
        <v>0.0</v>
      </c>
      <c r="T240" s="31">
        <f>IF(T239+AD240-J240&lt;=0.01,0,ROUND(T239+AD240-J240,2))</f>
        <v>0.0</v>
      </c>
      <c r="U240" s="31">
        <f>IF(U239+AE240-K240&lt;=0.01,0,ROUND(U239+AE240-K240,2))</f>
        <v>0.0</v>
      </c>
      <c r="V240" s="31">
        <f>IF(V239+AF240-L240&lt;=0.01,0,ROUND(V239+AF240-L240,2))</f>
        <v>0.0</v>
      </c>
      <c r="W240" s="31">
        <f>IF(W239+AG240-M240&lt;=0.01,0,ROUND(W239+AG240-M240,2))</f>
        <v>0.0</v>
      </c>
      <c r="X240" s="31">
        <f>IF(X239+AH240-N240&lt;=0.01,0,ROUND(X239+AH240-N240,2))</f>
        <v>0.0</v>
      </c>
      <c r="Y240" s="31">
        <f>IF(Y239+AI240-O240&lt;=0.01,0,ROUND(Y239+AI240-O240,2))</f>
        <v>0.0</v>
      </c>
      <c r="Z240" s="31">
        <f>IF(Z239+AJ240-P240&lt;=0.01,0,ROUND(Z239+AJ240-P240,2))</f>
        <v>0.0</v>
      </c>
      <c r="AA240" s="31">
        <f>IF(AA239+AK240-Q240&lt;=0.01,0,ROUND(AA239+AK240-Q240,2))</f>
        <v>0.0</v>
      </c>
      <c r="AB240" s="31">
        <f>ROUND(R239*AB$5/1200,2)</f>
        <v>0.0</v>
      </c>
      <c r="AC240" s="31">
        <f>ROUND(S239*AC$5/1200,2)</f>
        <v>0.0</v>
      </c>
      <c r="AD240" s="31">
        <f>ROUND(T239*AD$5/1200,2)</f>
        <v>0.0</v>
      </c>
      <c r="AE240" s="31">
        <f>ROUND(U239*AE$5/1200,2)</f>
        <v>0.0</v>
      </c>
      <c r="AF240" s="31">
        <f>ROUND(V239*AF$5/1200,2)</f>
        <v>0.0</v>
      </c>
      <c r="AG240" s="31">
        <f>ROUND(W239*AG$5/1200,2)</f>
        <v>0.0</v>
      </c>
      <c r="AH240" s="31">
        <f>ROUND(X239*AH$5/1200,2)</f>
        <v>0.0</v>
      </c>
      <c r="AI240" s="31">
        <f>ROUND(Y239*AI$5/1200,2)</f>
        <v>0.0</v>
      </c>
      <c r="AJ240" s="31">
        <f>ROUND(Z239*AJ$5/1200,2)</f>
        <v>0.0</v>
      </c>
      <c r="AK240" s="31">
        <f>ROUND(AA239*AK$5/1200,2)</f>
        <v>0.0</v>
      </c>
      <c r="AL240" s="31">
        <f>MIN(AL$5,R239+AB240)</f>
        <v>0.0</v>
      </c>
      <c r="AM240" s="31">
        <f>MIN(AM$5,S239+AC240)</f>
        <v>0.0</v>
      </c>
      <c r="AN240" s="31">
        <f>MIN(AN$5,T239+AD240)</f>
        <v>0.0</v>
      </c>
      <c r="AO240" s="31">
        <f>MIN(AO$5,U239+AE240)</f>
        <v>0.0</v>
      </c>
      <c r="AP240" s="31">
        <f>MIN(AP$5,V239+AF240)</f>
        <v>0.0</v>
      </c>
      <c r="AQ240" s="31">
        <f>MIN(AQ$5,W239+AG240)</f>
        <v>0.0</v>
      </c>
      <c r="AR240" s="31">
        <f>MIN(AR$5,X239+AH240)</f>
        <v>0.0</v>
      </c>
      <c r="AS240" s="31">
        <f>MIN(AS$5,Y239+AI240)</f>
        <v>0.0</v>
      </c>
      <c r="AT240" s="31">
        <f>MIN(AT$5,Z239+AJ240)</f>
        <v>0.0</v>
      </c>
      <c r="AU240" s="31">
        <f>MIN(AU$5,AA239+AK240)</f>
        <v>0.0</v>
      </c>
    </row>
    <row r="241">
      <c r="A241" s="25" t="str">
        <f>IF(F240&gt;0.005,236,"")</f>
        <v/>
      </c>
      <c r="B241" s="33" t="str">
        <f>IF(A241="","",EDATE(Долги!$D$5,235))</f>
        <v/>
      </c>
      <c r="C241" s="31">
        <f>SUM(H241:Q241)</f>
        <v>0.0</v>
      </c>
      <c r="D241" s="31">
        <f>SUM(AB241:AK241)</f>
        <v>0.0</v>
      </c>
      <c r="E241" s="31">
        <f>C241-D241</f>
        <v>0.0</v>
      </c>
      <c r="F241" s="31">
        <f>SUM(R241:AA241)</f>
        <v>0.0</v>
      </c>
      <c r="G241" s="34" t="str">
        <f>IF(OR(A241="",$F$5&lt;=0),"",REPT("█",ROUND(20*F241/$F$5,0)))</f>
        <v/>
      </c>
      <c r="H241" s="31">
        <f>AL241+MIN(R240+AB241-AL241,MAX(0,ROUND(Долги!$D$19-SUM($AL241:$AU241),2)))</f>
        <v>0.0</v>
      </c>
      <c r="I241" s="31">
        <f>AM241+MIN(S240+AC241-AM241,MAX(0,ROUND(ROUND(Долги!$D$19-SUM($AL241:$AU241),2)-(SUM($H241:H241)-SUM($AL241:AL241)),2)))</f>
        <v>0.0</v>
      </c>
      <c r="J241" s="31">
        <f>AN241+MIN(T240+AD241-AN241,MAX(0,ROUND(ROUND(Долги!$D$19-SUM($AL241:$AU241),2)-(SUM($H241:I241)-SUM($AL241:AM241)),2)))</f>
        <v>0.0</v>
      </c>
      <c r="K241" s="31">
        <f>AO241+MIN(U240+AE241-AO241,MAX(0,ROUND(ROUND(Долги!$D$19-SUM($AL241:$AU241),2)-(SUM($H241:J241)-SUM($AL241:AN241)),2)))</f>
        <v>0.0</v>
      </c>
      <c r="L241" s="31">
        <f>AP241+MIN(V240+AF241-AP241,MAX(0,ROUND(ROUND(Долги!$D$19-SUM($AL241:$AU241),2)-(SUM($H241:K241)-SUM($AL241:AO241)),2)))</f>
        <v>0.0</v>
      </c>
      <c r="M241" s="31">
        <f>AQ241+MIN(W240+AG241-AQ241,MAX(0,ROUND(ROUND(Долги!$D$19-SUM($AL241:$AU241),2)-(SUM($H241:L241)-SUM($AL241:AP241)),2)))</f>
        <v>0.0</v>
      </c>
      <c r="N241" s="31">
        <f>AR241+MIN(X240+AH241-AR241,MAX(0,ROUND(ROUND(Долги!$D$19-SUM($AL241:$AU241),2)-(SUM($H241:M241)-SUM($AL241:AQ241)),2)))</f>
        <v>0.0</v>
      </c>
      <c r="O241" s="31">
        <f>AS241+MIN(Y240+AI241-AS241,MAX(0,ROUND(ROUND(Долги!$D$19-SUM($AL241:$AU241),2)-(SUM($H241:N241)-SUM($AL241:AR241)),2)))</f>
        <v>0.0</v>
      </c>
      <c r="P241" s="31">
        <f>AT241+MIN(Z240+AJ241-AT241,MAX(0,ROUND(ROUND(Долги!$D$19-SUM($AL241:$AU241),2)-(SUM($H241:O241)-SUM($AL241:AS241)),2)))</f>
        <v>0.0</v>
      </c>
      <c r="Q241" s="31">
        <f>AU241+MIN(AA240+AK241-AU241,MAX(0,ROUND(ROUND(Долги!$D$19-SUM($AL241:$AU241),2)-(SUM($H241:P241)-SUM($AL241:AT241)),2)))</f>
        <v>0.0</v>
      </c>
      <c r="R241" s="31">
        <f>IF(R240+AB241-H241&lt;=0.01,0,ROUND(R240+AB241-H241,2))</f>
        <v>0.0</v>
      </c>
      <c r="S241" s="31">
        <f>IF(S240+AC241-I241&lt;=0.01,0,ROUND(S240+AC241-I241,2))</f>
        <v>0.0</v>
      </c>
      <c r="T241" s="31">
        <f>IF(T240+AD241-J241&lt;=0.01,0,ROUND(T240+AD241-J241,2))</f>
        <v>0.0</v>
      </c>
      <c r="U241" s="31">
        <f>IF(U240+AE241-K241&lt;=0.01,0,ROUND(U240+AE241-K241,2))</f>
        <v>0.0</v>
      </c>
      <c r="V241" s="31">
        <f>IF(V240+AF241-L241&lt;=0.01,0,ROUND(V240+AF241-L241,2))</f>
        <v>0.0</v>
      </c>
      <c r="W241" s="31">
        <f>IF(W240+AG241-M241&lt;=0.01,0,ROUND(W240+AG241-M241,2))</f>
        <v>0.0</v>
      </c>
      <c r="X241" s="31">
        <f>IF(X240+AH241-N241&lt;=0.01,0,ROUND(X240+AH241-N241,2))</f>
        <v>0.0</v>
      </c>
      <c r="Y241" s="31">
        <f>IF(Y240+AI241-O241&lt;=0.01,0,ROUND(Y240+AI241-O241,2))</f>
        <v>0.0</v>
      </c>
      <c r="Z241" s="31">
        <f>IF(Z240+AJ241-P241&lt;=0.01,0,ROUND(Z240+AJ241-P241,2))</f>
        <v>0.0</v>
      </c>
      <c r="AA241" s="31">
        <f>IF(AA240+AK241-Q241&lt;=0.01,0,ROUND(AA240+AK241-Q241,2))</f>
        <v>0.0</v>
      </c>
      <c r="AB241" s="31">
        <f>ROUND(R240*AB$5/1200,2)</f>
        <v>0.0</v>
      </c>
      <c r="AC241" s="31">
        <f>ROUND(S240*AC$5/1200,2)</f>
        <v>0.0</v>
      </c>
      <c r="AD241" s="31">
        <f>ROUND(T240*AD$5/1200,2)</f>
        <v>0.0</v>
      </c>
      <c r="AE241" s="31">
        <f>ROUND(U240*AE$5/1200,2)</f>
        <v>0.0</v>
      </c>
      <c r="AF241" s="31">
        <f>ROUND(V240*AF$5/1200,2)</f>
        <v>0.0</v>
      </c>
      <c r="AG241" s="31">
        <f>ROUND(W240*AG$5/1200,2)</f>
        <v>0.0</v>
      </c>
      <c r="AH241" s="31">
        <f>ROUND(X240*AH$5/1200,2)</f>
        <v>0.0</v>
      </c>
      <c r="AI241" s="31">
        <f>ROUND(Y240*AI$5/1200,2)</f>
        <v>0.0</v>
      </c>
      <c r="AJ241" s="31">
        <f>ROUND(Z240*AJ$5/1200,2)</f>
        <v>0.0</v>
      </c>
      <c r="AK241" s="31">
        <f>ROUND(AA240*AK$5/1200,2)</f>
        <v>0.0</v>
      </c>
      <c r="AL241" s="31">
        <f>MIN(AL$5,R240+AB241)</f>
        <v>0.0</v>
      </c>
      <c r="AM241" s="31">
        <f>MIN(AM$5,S240+AC241)</f>
        <v>0.0</v>
      </c>
      <c r="AN241" s="31">
        <f>MIN(AN$5,T240+AD241)</f>
        <v>0.0</v>
      </c>
      <c r="AO241" s="31">
        <f>MIN(AO$5,U240+AE241)</f>
        <v>0.0</v>
      </c>
      <c r="AP241" s="31">
        <f>MIN(AP$5,V240+AF241)</f>
        <v>0.0</v>
      </c>
      <c r="AQ241" s="31">
        <f>MIN(AQ$5,W240+AG241)</f>
        <v>0.0</v>
      </c>
      <c r="AR241" s="31">
        <f>MIN(AR$5,X240+AH241)</f>
        <v>0.0</v>
      </c>
      <c r="AS241" s="31">
        <f>MIN(AS$5,Y240+AI241)</f>
        <v>0.0</v>
      </c>
      <c r="AT241" s="31">
        <f>MIN(AT$5,Z240+AJ241)</f>
        <v>0.0</v>
      </c>
      <c r="AU241" s="31">
        <f>MIN(AU$5,AA240+AK241)</f>
        <v>0.0</v>
      </c>
    </row>
    <row r="242">
      <c r="A242" s="25" t="str">
        <f>IF(F241&gt;0.005,237,"")</f>
        <v/>
      </c>
      <c r="B242" s="33" t="str">
        <f>IF(A242="","",EDATE(Долги!$D$5,236))</f>
        <v/>
      </c>
      <c r="C242" s="31">
        <f>SUM(H242:Q242)</f>
        <v>0.0</v>
      </c>
      <c r="D242" s="31">
        <f>SUM(AB242:AK242)</f>
        <v>0.0</v>
      </c>
      <c r="E242" s="31">
        <f>C242-D242</f>
        <v>0.0</v>
      </c>
      <c r="F242" s="31">
        <f>SUM(R242:AA242)</f>
        <v>0.0</v>
      </c>
      <c r="G242" s="34" t="str">
        <f>IF(OR(A242="",$F$5&lt;=0),"",REPT("█",ROUND(20*F242/$F$5,0)))</f>
        <v/>
      </c>
      <c r="H242" s="31">
        <f>AL242+MIN(R241+AB242-AL242,MAX(0,ROUND(Долги!$D$19-SUM($AL242:$AU242),2)))</f>
        <v>0.0</v>
      </c>
      <c r="I242" s="31">
        <f>AM242+MIN(S241+AC242-AM242,MAX(0,ROUND(ROUND(Долги!$D$19-SUM($AL242:$AU242),2)-(SUM($H242:H242)-SUM($AL242:AL242)),2)))</f>
        <v>0.0</v>
      </c>
      <c r="J242" s="31">
        <f>AN242+MIN(T241+AD242-AN242,MAX(0,ROUND(ROUND(Долги!$D$19-SUM($AL242:$AU242),2)-(SUM($H242:I242)-SUM($AL242:AM242)),2)))</f>
        <v>0.0</v>
      </c>
      <c r="K242" s="31">
        <f>AO242+MIN(U241+AE242-AO242,MAX(0,ROUND(ROUND(Долги!$D$19-SUM($AL242:$AU242),2)-(SUM($H242:J242)-SUM($AL242:AN242)),2)))</f>
        <v>0.0</v>
      </c>
      <c r="L242" s="31">
        <f>AP242+MIN(V241+AF242-AP242,MAX(0,ROUND(ROUND(Долги!$D$19-SUM($AL242:$AU242),2)-(SUM($H242:K242)-SUM($AL242:AO242)),2)))</f>
        <v>0.0</v>
      </c>
      <c r="M242" s="31">
        <f>AQ242+MIN(W241+AG242-AQ242,MAX(0,ROUND(ROUND(Долги!$D$19-SUM($AL242:$AU242),2)-(SUM($H242:L242)-SUM($AL242:AP242)),2)))</f>
        <v>0.0</v>
      </c>
      <c r="N242" s="31">
        <f>AR242+MIN(X241+AH242-AR242,MAX(0,ROUND(ROUND(Долги!$D$19-SUM($AL242:$AU242),2)-(SUM($H242:M242)-SUM($AL242:AQ242)),2)))</f>
        <v>0.0</v>
      </c>
      <c r="O242" s="31">
        <f>AS242+MIN(Y241+AI242-AS242,MAX(0,ROUND(ROUND(Долги!$D$19-SUM($AL242:$AU242),2)-(SUM($H242:N242)-SUM($AL242:AR242)),2)))</f>
        <v>0.0</v>
      </c>
      <c r="P242" s="31">
        <f>AT242+MIN(Z241+AJ242-AT242,MAX(0,ROUND(ROUND(Долги!$D$19-SUM($AL242:$AU242),2)-(SUM($H242:O242)-SUM($AL242:AS242)),2)))</f>
        <v>0.0</v>
      </c>
      <c r="Q242" s="31">
        <f>AU242+MIN(AA241+AK242-AU242,MAX(0,ROUND(ROUND(Долги!$D$19-SUM($AL242:$AU242),2)-(SUM($H242:P242)-SUM($AL242:AT242)),2)))</f>
        <v>0.0</v>
      </c>
      <c r="R242" s="31">
        <f>IF(R241+AB242-H242&lt;=0.01,0,ROUND(R241+AB242-H242,2))</f>
        <v>0.0</v>
      </c>
      <c r="S242" s="31">
        <f>IF(S241+AC242-I242&lt;=0.01,0,ROUND(S241+AC242-I242,2))</f>
        <v>0.0</v>
      </c>
      <c r="T242" s="31">
        <f>IF(T241+AD242-J242&lt;=0.01,0,ROUND(T241+AD242-J242,2))</f>
        <v>0.0</v>
      </c>
      <c r="U242" s="31">
        <f>IF(U241+AE242-K242&lt;=0.01,0,ROUND(U241+AE242-K242,2))</f>
        <v>0.0</v>
      </c>
      <c r="V242" s="31">
        <f>IF(V241+AF242-L242&lt;=0.01,0,ROUND(V241+AF242-L242,2))</f>
        <v>0.0</v>
      </c>
      <c r="W242" s="31">
        <f>IF(W241+AG242-M242&lt;=0.01,0,ROUND(W241+AG242-M242,2))</f>
        <v>0.0</v>
      </c>
      <c r="X242" s="31">
        <f>IF(X241+AH242-N242&lt;=0.01,0,ROUND(X241+AH242-N242,2))</f>
        <v>0.0</v>
      </c>
      <c r="Y242" s="31">
        <f>IF(Y241+AI242-O242&lt;=0.01,0,ROUND(Y241+AI242-O242,2))</f>
        <v>0.0</v>
      </c>
      <c r="Z242" s="31">
        <f>IF(Z241+AJ242-P242&lt;=0.01,0,ROUND(Z241+AJ242-P242,2))</f>
        <v>0.0</v>
      </c>
      <c r="AA242" s="31">
        <f>IF(AA241+AK242-Q242&lt;=0.01,0,ROUND(AA241+AK242-Q242,2))</f>
        <v>0.0</v>
      </c>
      <c r="AB242" s="31">
        <f>ROUND(R241*AB$5/1200,2)</f>
        <v>0.0</v>
      </c>
      <c r="AC242" s="31">
        <f>ROUND(S241*AC$5/1200,2)</f>
        <v>0.0</v>
      </c>
      <c r="AD242" s="31">
        <f>ROUND(T241*AD$5/1200,2)</f>
        <v>0.0</v>
      </c>
      <c r="AE242" s="31">
        <f>ROUND(U241*AE$5/1200,2)</f>
        <v>0.0</v>
      </c>
      <c r="AF242" s="31">
        <f>ROUND(V241*AF$5/1200,2)</f>
        <v>0.0</v>
      </c>
      <c r="AG242" s="31">
        <f>ROUND(W241*AG$5/1200,2)</f>
        <v>0.0</v>
      </c>
      <c r="AH242" s="31">
        <f>ROUND(X241*AH$5/1200,2)</f>
        <v>0.0</v>
      </c>
      <c r="AI242" s="31">
        <f>ROUND(Y241*AI$5/1200,2)</f>
        <v>0.0</v>
      </c>
      <c r="AJ242" s="31">
        <f>ROUND(Z241*AJ$5/1200,2)</f>
        <v>0.0</v>
      </c>
      <c r="AK242" s="31">
        <f>ROUND(AA241*AK$5/1200,2)</f>
        <v>0.0</v>
      </c>
      <c r="AL242" s="31">
        <f>MIN(AL$5,R241+AB242)</f>
        <v>0.0</v>
      </c>
      <c r="AM242" s="31">
        <f>MIN(AM$5,S241+AC242)</f>
        <v>0.0</v>
      </c>
      <c r="AN242" s="31">
        <f>MIN(AN$5,T241+AD242)</f>
        <v>0.0</v>
      </c>
      <c r="AO242" s="31">
        <f>MIN(AO$5,U241+AE242)</f>
        <v>0.0</v>
      </c>
      <c r="AP242" s="31">
        <f>MIN(AP$5,V241+AF242)</f>
        <v>0.0</v>
      </c>
      <c r="AQ242" s="31">
        <f>MIN(AQ$5,W241+AG242)</f>
        <v>0.0</v>
      </c>
      <c r="AR242" s="31">
        <f>MIN(AR$5,X241+AH242)</f>
        <v>0.0</v>
      </c>
      <c r="AS242" s="31">
        <f>MIN(AS$5,Y241+AI242)</f>
        <v>0.0</v>
      </c>
      <c r="AT242" s="31">
        <f>MIN(AT$5,Z241+AJ242)</f>
        <v>0.0</v>
      </c>
      <c r="AU242" s="31">
        <f>MIN(AU$5,AA241+AK242)</f>
        <v>0.0</v>
      </c>
    </row>
    <row r="243">
      <c r="A243" s="25" t="str">
        <f>IF(F242&gt;0.005,238,"")</f>
        <v/>
      </c>
      <c r="B243" s="33" t="str">
        <f>IF(A243="","",EDATE(Долги!$D$5,237))</f>
        <v/>
      </c>
      <c r="C243" s="31">
        <f>SUM(H243:Q243)</f>
        <v>0.0</v>
      </c>
      <c r="D243" s="31">
        <f>SUM(AB243:AK243)</f>
        <v>0.0</v>
      </c>
      <c r="E243" s="31">
        <f>C243-D243</f>
        <v>0.0</v>
      </c>
      <c r="F243" s="31">
        <f>SUM(R243:AA243)</f>
        <v>0.0</v>
      </c>
      <c r="G243" s="34" t="str">
        <f>IF(OR(A243="",$F$5&lt;=0),"",REPT("█",ROUND(20*F243/$F$5,0)))</f>
        <v/>
      </c>
      <c r="H243" s="31">
        <f>AL243+MIN(R242+AB243-AL243,MAX(0,ROUND(Долги!$D$19-SUM($AL243:$AU243),2)))</f>
        <v>0.0</v>
      </c>
      <c r="I243" s="31">
        <f>AM243+MIN(S242+AC243-AM243,MAX(0,ROUND(ROUND(Долги!$D$19-SUM($AL243:$AU243),2)-(SUM($H243:H243)-SUM($AL243:AL243)),2)))</f>
        <v>0.0</v>
      </c>
      <c r="J243" s="31">
        <f>AN243+MIN(T242+AD243-AN243,MAX(0,ROUND(ROUND(Долги!$D$19-SUM($AL243:$AU243),2)-(SUM($H243:I243)-SUM($AL243:AM243)),2)))</f>
        <v>0.0</v>
      </c>
      <c r="K243" s="31">
        <f>AO243+MIN(U242+AE243-AO243,MAX(0,ROUND(ROUND(Долги!$D$19-SUM($AL243:$AU243),2)-(SUM($H243:J243)-SUM($AL243:AN243)),2)))</f>
        <v>0.0</v>
      </c>
      <c r="L243" s="31">
        <f>AP243+MIN(V242+AF243-AP243,MAX(0,ROUND(ROUND(Долги!$D$19-SUM($AL243:$AU243),2)-(SUM($H243:K243)-SUM($AL243:AO243)),2)))</f>
        <v>0.0</v>
      </c>
      <c r="M243" s="31">
        <f>AQ243+MIN(W242+AG243-AQ243,MAX(0,ROUND(ROUND(Долги!$D$19-SUM($AL243:$AU243),2)-(SUM($H243:L243)-SUM($AL243:AP243)),2)))</f>
        <v>0.0</v>
      </c>
      <c r="N243" s="31">
        <f>AR243+MIN(X242+AH243-AR243,MAX(0,ROUND(ROUND(Долги!$D$19-SUM($AL243:$AU243),2)-(SUM($H243:M243)-SUM($AL243:AQ243)),2)))</f>
        <v>0.0</v>
      </c>
      <c r="O243" s="31">
        <f>AS243+MIN(Y242+AI243-AS243,MAX(0,ROUND(ROUND(Долги!$D$19-SUM($AL243:$AU243),2)-(SUM($H243:N243)-SUM($AL243:AR243)),2)))</f>
        <v>0.0</v>
      </c>
      <c r="P243" s="31">
        <f>AT243+MIN(Z242+AJ243-AT243,MAX(0,ROUND(ROUND(Долги!$D$19-SUM($AL243:$AU243),2)-(SUM($H243:O243)-SUM($AL243:AS243)),2)))</f>
        <v>0.0</v>
      </c>
      <c r="Q243" s="31">
        <f>AU243+MIN(AA242+AK243-AU243,MAX(0,ROUND(ROUND(Долги!$D$19-SUM($AL243:$AU243),2)-(SUM($H243:P243)-SUM($AL243:AT243)),2)))</f>
        <v>0.0</v>
      </c>
      <c r="R243" s="31">
        <f>IF(R242+AB243-H243&lt;=0.01,0,ROUND(R242+AB243-H243,2))</f>
        <v>0.0</v>
      </c>
      <c r="S243" s="31">
        <f>IF(S242+AC243-I243&lt;=0.01,0,ROUND(S242+AC243-I243,2))</f>
        <v>0.0</v>
      </c>
      <c r="T243" s="31">
        <f>IF(T242+AD243-J243&lt;=0.01,0,ROUND(T242+AD243-J243,2))</f>
        <v>0.0</v>
      </c>
      <c r="U243" s="31">
        <f>IF(U242+AE243-K243&lt;=0.01,0,ROUND(U242+AE243-K243,2))</f>
        <v>0.0</v>
      </c>
      <c r="V243" s="31">
        <f>IF(V242+AF243-L243&lt;=0.01,0,ROUND(V242+AF243-L243,2))</f>
        <v>0.0</v>
      </c>
      <c r="W243" s="31">
        <f>IF(W242+AG243-M243&lt;=0.01,0,ROUND(W242+AG243-M243,2))</f>
        <v>0.0</v>
      </c>
      <c r="X243" s="31">
        <f>IF(X242+AH243-N243&lt;=0.01,0,ROUND(X242+AH243-N243,2))</f>
        <v>0.0</v>
      </c>
      <c r="Y243" s="31">
        <f>IF(Y242+AI243-O243&lt;=0.01,0,ROUND(Y242+AI243-O243,2))</f>
        <v>0.0</v>
      </c>
      <c r="Z243" s="31">
        <f>IF(Z242+AJ243-P243&lt;=0.01,0,ROUND(Z242+AJ243-P243,2))</f>
        <v>0.0</v>
      </c>
      <c r="AA243" s="31">
        <f>IF(AA242+AK243-Q243&lt;=0.01,0,ROUND(AA242+AK243-Q243,2))</f>
        <v>0.0</v>
      </c>
      <c r="AB243" s="31">
        <f>ROUND(R242*AB$5/1200,2)</f>
        <v>0.0</v>
      </c>
      <c r="AC243" s="31">
        <f>ROUND(S242*AC$5/1200,2)</f>
        <v>0.0</v>
      </c>
      <c r="AD243" s="31">
        <f>ROUND(T242*AD$5/1200,2)</f>
        <v>0.0</v>
      </c>
      <c r="AE243" s="31">
        <f>ROUND(U242*AE$5/1200,2)</f>
        <v>0.0</v>
      </c>
      <c r="AF243" s="31">
        <f>ROUND(V242*AF$5/1200,2)</f>
        <v>0.0</v>
      </c>
      <c r="AG243" s="31">
        <f>ROUND(W242*AG$5/1200,2)</f>
        <v>0.0</v>
      </c>
      <c r="AH243" s="31">
        <f>ROUND(X242*AH$5/1200,2)</f>
        <v>0.0</v>
      </c>
      <c r="AI243" s="31">
        <f>ROUND(Y242*AI$5/1200,2)</f>
        <v>0.0</v>
      </c>
      <c r="AJ243" s="31">
        <f>ROUND(Z242*AJ$5/1200,2)</f>
        <v>0.0</v>
      </c>
      <c r="AK243" s="31">
        <f>ROUND(AA242*AK$5/1200,2)</f>
        <v>0.0</v>
      </c>
      <c r="AL243" s="31">
        <f>MIN(AL$5,R242+AB243)</f>
        <v>0.0</v>
      </c>
      <c r="AM243" s="31">
        <f>MIN(AM$5,S242+AC243)</f>
        <v>0.0</v>
      </c>
      <c r="AN243" s="31">
        <f>MIN(AN$5,T242+AD243)</f>
        <v>0.0</v>
      </c>
      <c r="AO243" s="31">
        <f>MIN(AO$5,U242+AE243)</f>
        <v>0.0</v>
      </c>
      <c r="AP243" s="31">
        <f>MIN(AP$5,V242+AF243)</f>
        <v>0.0</v>
      </c>
      <c r="AQ243" s="31">
        <f>MIN(AQ$5,W242+AG243)</f>
        <v>0.0</v>
      </c>
      <c r="AR243" s="31">
        <f>MIN(AR$5,X242+AH243)</f>
        <v>0.0</v>
      </c>
      <c r="AS243" s="31">
        <f>MIN(AS$5,Y242+AI243)</f>
        <v>0.0</v>
      </c>
      <c r="AT243" s="31">
        <f>MIN(AT$5,Z242+AJ243)</f>
        <v>0.0</v>
      </c>
      <c r="AU243" s="31">
        <f>MIN(AU$5,AA242+AK243)</f>
        <v>0.0</v>
      </c>
    </row>
    <row r="244">
      <c r="A244" s="25" t="str">
        <f>IF(F243&gt;0.005,239,"")</f>
        <v/>
      </c>
      <c r="B244" s="33" t="str">
        <f>IF(A244="","",EDATE(Долги!$D$5,238))</f>
        <v/>
      </c>
      <c r="C244" s="31">
        <f>SUM(H244:Q244)</f>
        <v>0.0</v>
      </c>
      <c r="D244" s="31">
        <f>SUM(AB244:AK244)</f>
        <v>0.0</v>
      </c>
      <c r="E244" s="31">
        <f>C244-D244</f>
        <v>0.0</v>
      </c>
      <c r="F244" s="31">
        <f>SUM(R244:AA244)</f>
        <v>0.0</v>
      </c>
      <c r="G244" s="34" t="str">
        <f>IF(OR(A244="",$F$5&lt;=0),"",REPT("█",ROUND(20*F244/$F$5,0)))</f>
        <v/>
      </c>
      <c r="H244" s="31">
        <f>AL244+MIN(R243+AB244-AL244,MAX(0,ROUND(Долги!$D$19-SUM($AL244:$AU244),2)))</f>
        <v>0.0</v>
      </c>
      <c r="I244" s="31">
        <f>AM244+MIN(S243+AC244-AM244,MAX(0,ROUND(ROUND(Долги!$D$19-SUM($AL244:$AU244),2)-(SUM($H244:H244)-SUM($AL244:AL244)),2)))</f>
        <v>0.0</v>
      </c>
      <c r="J244" s="31">
        <f>AN244+MIN(T243+AD244-AN244,MAX(0,ROUND(ROUND(Долги!$D$19-SUM($AL244:$AU244),2)-(SUM($H244:I244)-SUM($AL244:AM244)),2)))</f>
        <v>0.0</v>
      </c>
      <c r="K244" s="31">
        <f>AO244+MIN(U243+AE244-AO244,MAX(0,ROUND(ROUND(Долги!$D$19-SUM($AL244:$AU244),2)-(SUM($H244:J244)-SUM($AL244:AN244)),2)))</f>
        <v>0.0</v>
      </c>
      <c r="L244" s="31">
        <f>AP244+MIN(V243+AF244-AP244,MAX(0,ROUND(ROUND(Долги!$D$19-SUM($AL244:$AU244),2)-(SUM($H244:K244)-SUM($AL244:AO244)),2)))</f>
        <v>0.0</v>
      </c>
      <c r="M244" s="31">
        <f>AQ244+MIN(W243+AG244-AQ244,MAX(0,ROUND(ROUND(Долги!$D$19-SUM($AL244:$AU244),2)-(SUM($H244:L244)-SUM($AL244:AP244)),2)))</f>
        <v>0.0</v>
      </c>
      <c r="N244" s="31">
        <f>AR244+MIN(X243+AH244-AR244,MAX(0,ROUND(ROUND(Долги!$D$19-SUM($AL244:$AU244),2)-(SUM($H244:M244)-SUM($AL244:AQ244)),2)))</f>
        <v>0.0</v>
      </c>
      <c r="O244" s="31">
        <f>AS244+MIN(Y243+AI244-AS244,MAX(0,ROUND(ROUND(Долги!$D$19-SUM($AL244:$AU244),2)-(SUM($H244:N244)-SUM($AL244:AR244)),2)))</f>
        <v>0.0</v>
      </c>
      <c r="P244" s="31">
        <f>AT244+MIN(Z243+AJ244-AT244,MAX(0,ROUND(ROUND(Долги!$D$19-SUM($AL244:$AU244),2)-(SUM($H244:O244)-SUM($AL244:AS244)),2)))</f>
        <v>0.0</v>
      </c>
      <c r="Q244" s="31">
        <f>AU244+MIN(AA243+AK244-AU244,MAX(0,ROUND(ROUND(Долги!$D$19-SUM($AL244:$AU244),2)-(SUM($H244:P244)-SUM($AL244:AT244)),2)))</f>
        <v>0.0</v>
      </c>
      <c r="R244" s="31">
        <f>IF(R243+AB244-H244&lt;=0.01,0,ROUND(R243+AB244-H244,2))</f>
        <v>0.0</v>
      </c>
      <c r="S244" s="31">
        <f>IF(S243+AC244-I244&lt;=0.01,0,ROUND(S243+AC244-I244,2))</f>
        <v>0.0</v>
      </c>
      <c r="T244" s="31">
        <f>IF(T243+AD244-J244&lt;=0.01,0,ROUND(T243+AD244-J244,2))</f>
        <v>0.0</v>
      </c>
      <c r="U244" s="31">
        <f>IF(U243+AE244-K244&lt;=0.01,0,ROUND(U243+AE244-K244,2))</f>
        <v>0.0</v>
      </c>
      <c r="V244" s="31">
        <f>IF(V243+AF244-L244&lt;=0.01,0,ROUND(V243+AF244-L244,2))</f>
        <v>0.0</v>
      </c>
      <c r="W244" s="31">
        <f>IF(W243+AG244-M244&lt;=0.01,0,ROUND(W243+AG244-M244,2))</f>
        <v>0.0</v>
      </c>
      <c r="X244" s="31">
        <f>IF(X243+AH244-N244&lt;=0.01,0,ROUND(X243+AH244-N244,2))</f>
        <v>0.0</v>
      </c>
      <c r="Y244" s="31">
        <f>IF(Y243+AI244-O244&lt;=0.01,0,ROUND(Y243+AI244-O244,2))</f>
        <v>0.0</v>
      </c>
      <c r="Z244" s="31">
        <f>IF(Z243+AJ244-P244&lt;=0.01,0,ROUND(Z243+AJ244-P244,2))</f>
        <v>0.0</v>
      </c>
      <c r="AA244" s="31">
        <f>IF(AA243+AK244-Q244&lt;=0.01,0,ROUND(AA243+AK244-Q244,2))</f>
        <v>0.0</v>
      </c>
      <c r="AB244" s="31">
        <f>ROUND(R243*AB$5/1200,2)</f>
        <v>0.0</v>
      </c>
      <c r="AC244" s="31">
        <f>ROUND(S243*AC$5/1200,2)</f>
        <v>0.0</v>
      </c>
      <c r="AD244" s="31">
        <f>ROUND(T243*AD$5/1200,2)</f>
        <v>0.0</v>
      </c>
      <c r="AE244" s="31">
        <f>ROUND(U243*AE$5/1200,2)</f>
        <v>0.0</v>
      </c>
      <c r="AF244" s="31">
        <f>ROUND(V243*AF$5/1200,2)</f>
        <v>0.0</v>
      </c>
      <c r="AG244" s="31">
        <f>ROUND(W243*AG$5/1200,2)</f>
        <v>0.0</v>
      </c>
      <c r="AH244" s="31">
        <f>ROUND(X243*AH$5/1200,2)</f>
        <v>0.0</v>
      </c>
      <c r="AI244" s="31">
        <f>ROUND(Y243*AI$5/1200,2)</f>
        <v>0.0</v>
      </c>
      <c r="AJ244" s="31">
        <f>ROUND(Z243*AJ$5/1200,2)</f>
        <v>0.0</v>
      </c>
      <c r="AK244" s="31">
        <f>ROUND(AA243*AK$5/1200,2)</f>
        <v>0.0</v>
      </c>
      <c r="AL244" s="31">
        <f>MIN(AL$5,R243+AB244)</f>
        <v>0.0</v>
      </c>
      <c r="AM244" s="31">
        <f>MIN(AM$5,S243+AC244)</f>
        <v>0.0</v>
      </c>
      <c r="AN244" s="31">
        <f>MIN(AN$5,T243+AD244)</f>
        <v>0.0</v>
      </c>
      <c r="AO244" s="31">
        <f>MIN(AO$5,U243+AE244)</f>
        <v>0.0</v>
      </c>
      <c r="AP244" s="31">
        <f>MIN(AP$5,V243+AF244)</f>
        <v>0.0</v>
      </c>
      <c r="AQ244" s="31">
        <f>MIN(AQ$5,W243+AG244)</f>
        <v>0.0</v>
      </c>
      <c r="AR244" s="31">
        <f>MIN(AR$5,X243+AH244)</f>
        <v>0.0</v>
      </c>
      <c r="AS244" s="31">
        <f>MIN(AS$5,Y243+AI244)</f>
        <v>0.0</v>
      </c>
      <c r="AT244" s="31">
        <f>MIN(AT$5,Z243+AJ244)</f>
        <v>0.0</v>
      </c>
      <c r="AU244" s="31">
        <f>MIN(AU$5,AA243+AK244)</f>
        <v>0.0</v>
      </c>
    </row>
    <row r="245">
      <c r="A245" s="25" t="str">
        <f>IF(F244&gt;0.005,240,"")</f>
        <v/>
      </c>
      <c r="B245" s="33" t="str">
        <f>IF(A245="","",EDATE(Долги!$D$5,239))</f>
        <v/>
      </c>
      <c r="C245" s="31">
        <f>SUM(H245:Q245)</f>
        <v>0.0</v>
      </c>
      <c r="D245" s="31">
        <f>SUM(AB245:AK245)</f>
        <v>0.0</v>
      </c>
      <c r="E245" s="31">
        <f>C245-D245</f>
        <v>0.0</v>
      </c>
      <c r="F245" s="31">
        <f>SUM(R245:AA245)</f>
        <v>0.0</v>
      </c>
      <c r="G245" s="34" t="str">
        <f>IF(OR(A245="",$F$5&lt;=0),"",REPT("█",ROUND(20*F245/$F$5,0)))</f>
        <v/>
      </c>
      <c r="H245" s="31">
        <f>AL245+MIN(R244+AB245-AL245,MAX(0,ROUND(Долги!$D$19-SUM($AL245:$AU245),2)))</f>
        <v>0.0</v>
      </c>
      <c r="I245" s="31">
        <f>AM245+MIN(S244+AC245-AM245,MAX(0,ROUND(ROUND(Долги!$D$19-SUM($AL245:$AU245),2)-(SUM($H245:H245)-SUM($AL245:AL245)),2)))</f>
        <v>0.0</v>
      </c>
      <c r="J245" s="31">
        <f>AN245+MIN(T244+AD245-AN245,MAX(0,ROUND(ROUND(Долги!$D$19-SUM($AL245:$AU245),2)-(SUM($H245:I245)-SUM($AL245:AM245)),2)))</f>
        <v>0.0</v>
      </c>
      <c r="K245" s="31">
        <f>AO245+MIN(U244+AE245-AO245,MAX(0,ROUND(ROUND(Долги!$D$19-SUM($AL245:$AU245),2)-(SUM($H245:J245)-SUM($AL245:AN245)),2)))</f>
        <v>0.0</v>
      </c>
      <c r="L245" s="31">
        <f>AP245+MIN(V244+AF245-AP245,MAX(0,ROUND(ROUND(Долги!$D$19-SUM($AL245:$AU245),2)-(SUM($H245:K245)-SUM($AL245:AO245)),2)))</f>
        <v>0.0</v>
      </c>
      <c r="M245" s="31">
        <f>AQ245+MIN(W244+AG245-AQ245,MAX(0,ROUND(ROUND(Долги!$D$19-SUM($AL245:$AU245),2)-(SUM($H245:L245)-SUM($AL245:AP245)),2)))</f>
        <v>0.0</v>
      </c>
      <c r="N245" s="31">
        <f>AR245+MIN(X244+AH245-AR245,MAX(0,ROUND(ROUND(Долги!$D$19-SUM($AL245:$AU245),2)-(SUM($H245:M245)-SUM($AL245:AQ245)),2)))</f>
        <v>0.0</v>
      </c>
      <c r="O245" s="31">
        <f>AS245+MIN(Y244+AI245-AS245,MAX(0,ROUND(ROUND(Долги!$D$19-SUM($AL245:$AU245),2)-(SUM($H245:N245)-SUM($AL245:AR245)),2)))</f>
        <v>0.0</v>
      </c>
      <c r="P245" s="31">
        <f>AT245+MIN(Z244+AJ245-AT245,MAX(0,ROUND(ROUND(Долги!$D$19-SUM($AL245:$AU245),2)-(SUM($H245:O245)-SUM($AL245:AS245)),2)))</f>
        <v>0.0</v>
      </c>
      <c r="Q245" s="31">
        <f>AU245+MIN(AA244+AK245-AU245,MAX(0,ROUND(ROUND(Долги!$D$19-SUM($AL245:$AU245),2)-(SUM($H245:P245)-SUM($AL245:AT245)),2)))</f>
        <v>0.0</v>
      </c>
      <c r="R245" s="31">
        <f>IF(R244+AB245-H245&lt;=0.01,0,ROUND(R244+AB245-H245,2))</f>
        <v>0.0</v>
      </c>
      <c r="S245" s="31">
        <f>IF(S244+AC245-I245&lt;=0.01,0,ROUND(S244+AC245-I245,2))</f>
        <v>0.0</v>
      </c>
      <c r="T245" s="31">
        <f>IF(T244+AD245-J245&lt;=0.01,0,ROUND(T244+AD245-J245,2))</f>
        <v>0.0</v>
      </c>
      <c r="U245" s="31">
        <f>IF(U244+AE245-K245&lt;=0.01,0,ROUND(U244+AE245-K245,2))</f>
        <v>0.0</v>
      </c>
      <c r="V245" s="31">
        <f>IF(V244+AF245-L245&lt;=0.01,0,ROUND(V244+AF245-L245,2))</f>
        <v>0.0</v>
      </c>
      <c r="W245" s="31">
        <f>IF(W244+AG245-M245&lt;=0.01,0,ROUND(W244+AG245-M245,2))</f>
        <v>0.0</v>
      </c>
      <c r="X245" s="31">
        <f>IF(X244+AH245-N245&lt;=0.01,0,ROUND(X244+AH245-N245,2))</f>
        <v>0.0</v>
      </c>
      <c r="Y245" s="31">
        <f>IF(Y244+AI245-O245&lt;=0.01,0,ROUND(Y244+AI245-O245,2))</f>
        <v>0.0</v>
      </c>
      <c r="Z245" s="31">
        <f>IF(Z244+AJ245-P245&lt;=0.01,0,ROUND(Z244+AJ245-P245,2))</f>
        <v>0.0</v>
      </c>
      <c r="AA245" s="31">
        <f>IF(AA244+AK245-Q245&lt;=0.01,0,ROUND(AA244+AK245-Q245,2))</f>
        <v>0.0</v>
      </c>
      <c r="AB245" s="31">
        <f>ROUND(R244*AB$5/1200,2)</f>
        <v>0.0</v>
      </c>
      <c r="AC245" s="31">
        <f>ROUND(S244*AC$5/1200,2)</f>
        <v>0.0</v>
      </c>
      <c r="AD245" s="31">
        <f>ROUND(T244*AD$5/1200,2)</f>
        <v>0.0</v>
      </c>
      <c r="AE245" s="31">
        <f>ROUND(U244*AE$5/1200,2)</f>
        <v>0.0</v>
      </c>
      <c r="AF245" s="31">
        <f>ROUND(V244*AF$5/1200,2)</f>
        <v>0.0</v>
      </c>
      <c r="AG245" s="31">
        <f>ROUND(W244*AG$5/1200,2)</f>
        <v>0.0</v>
      </c>
      <c r="AH245" s="31">
        <f>ROUND(X244*AH$5/1200,2)</f>
        <v>0.0</v>
      </c>
      <c r="AI245" s="31">
        <f>ROUND(Y244*AI$5/1200,2)</f>
        <v>0.0</v>
      </c>
      <c r="AJ245" s="31">
        <f>ROUND(Z244*AJ$5/1200,2)</f>
        <v>0.0</v>
      </c>
      <c r="AK245" s="31">
        <f>ROUND(AA244*AK$5/1200,2)</f>
        <v>0.0</v>
      </c>
      <c r="AL245" s="31">
        <f>MIN(AL$5,R244+AB245)</f>
        <v>0.0</v>
      </c>
      <c r="AM245" s="31">
        <f>MIN(AM$5,S244+AC245)</f>
        <v>0.0</v>
      </c>
      <c r="AN245" s="31">
        <f>MIN(AN$5,T244+AD245)</f>
        <v>0.0</v>
      </c>
      <c r="AO245" s="31">
        <f>MIN(AO$5,U244+AE245)</f>
        <v>0.0</v>
      </c>
      <c r="AP245" s="31">
        <f>MIN(AP$5,V244+AF245)</f>
        <v>0.0</v>
      </c>
      <c r="AQ245" s="31">
        <f>MIN(AQ$5,W244+AG245)</f>
        <v>0.0</v>
      </c>
      <c r="AR245" s="31">
        <f>MIN(AR$5,X244+AH245)</f>
        <v>0.0</v>
      </c>
      <c r="AS245" s="31">
        <f>MIN(AS$5,Y244+AI245)</f>
        <v>0.0</v>
      </c>
      <c r="AT245" s="31">
        <f>MIN(AT$5,Z244+AJ245)</f>
        <v>0.0</v>
      </c>
      <c r="AU245" s="31">
        <f>MIN(AU$5,AA244+AK245)</f>
        <v>0.0</v>
      </c>
    </row>
    <row r="246">
      <c r="A246" s="25" t="str">
        <f>IF(F245&gt;0.005,241,"")</f>
        <v/>
      </c>
      <c r="B246" s="33" t="str">
        <f>IF(A246="","",EDATE(Долги!$D$5,240))</f>
        <v/>
      </c>
      <c r="C246" s="31">
        <f>SUM(H246:Q246)</f>
        <v>0.0</v>
      </c>
      <c r="D246" s="31">
        <f>SUM(AB246:AK246)</f>
        <v>0.0</v>
      </c>
      <c r="E246" s="31">
        <f>C246-D246</f>
        <v>0.0</v>
      </c>
      <c r="F246" s="31">
        <f>SUM(R246:AA246)</f>
        <v>0.0</v>
      </c>
      <c r="G246" s="34" t="str">
        <f>IF(OR(A246="",$F$5&lt;=0),"",REPT("█",ROUND(20*F246/$F$5,0)))</f>
        <v/>
      </c>
      <c r="H246" s="31">
        <f>AL246+MIN(R245+AB246-AL246,MAX(0,ROUND(Долги!$D$19-SUM($AL246:$AU246),2)))</f>
        <v>0.0</v>
      </c>
      <c r="I246" s="31">
        <f>AM246+MIN(S245+AC246-AM246,MAX(0,ROUND(ROUND(Долги!$D$19-SUM($AL246:$AU246),2)-(SUM($H246:H246)-SUM($AL246:AL246)),2)))</f>
        <v>0.0</v>
      </c>
      <c r="J246" s="31">
        <f>AN246+MIN(T245+AD246-AN246,MAX(0,ROUND(ROUND(Долги!$D$19-SUM($AL246:$AU246),2)-(SUM($H246:I246)-SUM($AL246:AM246)),2)))</f>
        <v>0.0</v>
      </c>
      <c r="K246" s="31">
        <f>AO246+MIN(U245+AE246-AO246,MAX(0,ROUND(ROUND(Долги!$D$19-SUM($AL246:$AU246),2)-(SUM($H246:J246)-SUM($AL246:AN246)),2)))</f>
        <v>0.0</v>
      </c>
      <c r="L246" s="31">
        <f>AP246+MIN(V245+AF246-AP246,MAX(0,ROUND(ROUND(Долги!$D$19-SUM($AL246:$AU246),2)-(SUM($H246:K246)-SUM($AL246:AO246)),2)))</f>
        <v>0.0</v>
      </c>
      <c r="M246" s="31">
        <f>AQ246+MIN(W245+AG246-AQ246,MAX(0,ROUND(ROUND(Долги!$D$19-SUM($AL246:$AU246),2)-(SUM($H246:L246)-SUM($AL246:AP246)),2)))</f>
        <v>0.0</v>
      </c>
      <c r="N246" s="31">
        <f>AR246+MIN(X245+AH246-AR246,MAX(0,ROUND(ROUND(Долги!$D$19-SUM($AL246:$AU246),2)-(SUM($H246:M246)-SUM($AL246:AQ246)),2)))</f>
        <v>0.0</v>
      </c>
      <c r="O246" s="31">
        <f>AS246+MIN(Y245+AI246-AS246,MAX(0,ROUND(ROUND(Долги!$D$19-SUM($AL246:$AU246),2)-(SUM($H246:N246)-SUM($AL246:AR246)),2)))</f>
        <v>0.0</v>
      </c>
      <c r="P246" s="31">
        <f>AT246+MIN(Z245+AJ246-AT246,MAX(0,ROUND(ROUND(Долги!$D$19-SUM($AL246:$AU246),2)-(SUM($H246:O246)-SUM($AL246:AS246)),2)))</f>
        <v>0.0</v>
      </c>
      <c r="Q246" s="31">
        <f>AU246+MIN(AA245+AK246-AU246,MAX(0,ROUND(ROUND(Долги!$D$19-SUM($AL246:$AU246),2)-(SUM($H246:P246)-SUM($AL246:AT246)),2)))</f>
        <v>0.0</v>
      </c>
      <c r="R246" s="31">
        <f>IF(R245+AB246-H246&lt;=0.01,0,ROUND(R245+AB246-H246,2))</f>
        <v>0.0</v>
      </c>
      <c r="S246" s="31">
        <f>IF(S245+AC246-I246&lt;=0.01,0,ROUND(S245+AC246-I246,2))</f>
        <v>0.0</v>
      </c>
      <c r="T246" s="31">
        <f>IF(T245+AD246-J246&lt;=0.01,0,ROUND(T245+AD246-J246,2))</f>
        <v>0.0</v>
      </c>
      <c r="U246" s="31">
        <f>IF(U245+AE246-K246&lt;=0.01,0,ROUND(U245+AE246-K246,2))</f>
        <v>0.0</v>
      </c>
      <c r="V246" s="31">
        <f>IF(V245+AF246-L246&lt;=0.01,0,ROUND(V245+AF246-L246,2))</f>
        <v>0.0</v>
      </c>
      <c r="W246" s="31">
        <f>IF(W245+AG246-M246&lt;=0.01,0,ROUND(W245+AG246-M246,2))</f>
        <v>0.0</v>
      </c>
      <c r="X246" s="31">
        <f>IF(X245+AH246-N246&lt;=0.01,0,ROUND(X245+AH246-N246,2))</f>
        <v>0.0</v>
      </c>
      <c r="Y246" s="31">
        <f>IF(Y245+AI246-O246&lt;=0.01,0,ROUND(Y245+AI246-O246,2))</f>
        <v>0.0</v>
      </c>
      <c r="Z246" s="31">
        <f>IF(Z245+AJ246-P246&lt;=0.01,0,ROUND(Z245+AJ246-P246,2))</f>
        <v>0.0</v>
      </c>
      <c r="AA246" s="31">
        <f>IF(AA245+AK246-Q246&lt;=0.01,0,ROUND(AA245+AK246-Q246,2))</f>
        <v>0.0</v>
      </c>
      <c r="AB246" s="31">
        <f>ROUND(R245*AB$5/1200,2)</f>
        <v>0.0</v>
      </c>
      <c r="AC246" s="31">
        <f>ROUND(S245*AC$5/1200,2)</f>
        <v>0.0</v>
      </c>
      <c r="AD246" s="31">
        <f>ROUND(T245*AD$5/1200,2)</f>
        <v>0.0</v>
      </c>
      <c r="AE246" s="31">
        <f>ROUND(U245*AE$5/1200,2)</f>
        <v>0.0</v>
      </c>
      <c r="AF246" s="31">
        <f>ROUND(V245*AF$5/1200,2)</f>
        <v>0.0</v>
      </c>
      <c r="AG246" s="31">
        <f>ROUND(W245*AG$5/1200,2)</f>
        <v>0.0</v>
      </c>
      <c r="AH246" s="31">
        <f>ROUND(X245*AH$5/1200,2)</f>
        <v>0.0</v>
      </c>
      <c r="AI246" s="31">
        <f>ROUND(Y245*AI$5/1200,2)</f>
        <v>0.0</v>
      </c>
      <c r="AJ246" s="31">
        <f>ROUND(Z245*AJ$5/1200,2)</f>
        <v>0.0</v>
      </c>
      <c r="AK246" s="31">
        <f>ROUND(AA245*AK$5/1200,2)</f>
        <v>0.0</v>
      </c>
      <c r="AL246" s="31">
        <f>MIN(AL$5,R245+AB246)</f>
        <v>0.0</v>
      </c>
      <c r="AM246" s="31">
        <f>MIN(AM$5,S245+AC246)</f>
        <v>0.0</v>
      </c>
      <c r="AN246" s="31">
        <f>MIN(AN$5,T245+AD246)</f>
        <v>0.0</v>
      </c>
      <c r="AO246" s="31">
        <f>MIN(AO$5,U245+AE246)</f>
        <v>0.0</v>
      </c>
      <c r="AP246" s="31">
        <f>MIN(AP$5,V245+AF246)</f>
        <v>0.0</v>
      </c>
      <c r="AQ246" s="31">
        <f>MIN(AQ$5,W245+AG246)</f>
        <v>0.0</v>
      </c>
      <c r="AR246" s="31">
        <f>MIN(AR$5,X245+AH246)</f>
        <v>0.0</v>
      </c>
      <c r="AS246" s="31">
        <f>MIN(AS$5,Y245+AI246)</f>
        <v>0.0</v>
      </c>
      <c r="AT246" s="31">
        <f>MIN(AT$5,Z245+AJ246)</f>
        <v>0.0</v>
      </c>
      <c r="AU246" s="31">
        <f>MIN(AU$5,AA245+AK246)</f>
        <v>0.0</v>
      </c>
    </row>
    <row r="247">
      <c r="A247" s="25" t="str">
        <f>IF(F246&gt;0.005,242,"")</f>
        <v/>
      </c>
      <c r="B247" s="33" t="str">
        <f>IF(A247="","",EDATE(Долги!$D$5,241))</f>
        <v/>
      </c>
      <c r="C247" s="31">
        <f>SUM(H247:Q247)</f>
        <v>0.0</v>
      </c>
      <c r="D247" s="31">
        <f>SUM(AB247:AK247)</f>
        <v>0.0</v>
      </c>
      <c r="E247" s="31">
        <f>C247-D247</f>
        <v>0.0</v>
      </c>
      <c r="F247" s="31">
        <f>SUM(R247:AA247)</f>
        <v>0.0</v>
      </c>
      <c r="G247" s="34" t="str">
        <f>IF(OR(A247="",$F$5&lt;=0),"",REPT("█",ROUND(20*F247/$F$5,0)))</f>
        <v/>
      </c>
      <c r="H247" s="31">
        <f>AL247+MIN(R246+AB247-AL247,MAX(0,ROUND(Долги!$D$19-SUM($AL247:$AU247),2)))</f>
        <v>0.0</v>
      </c>
      <c r="I247" s="31">
        <f>AM247+MIN(S246+AC247-AM247,MAX(0,ROUND(ROUND(Долги!$D$19-SUM($AL247:$AU247),2)-(SUM($H247:H247)-SUM($AL247:AL247)),2)))</f>
        <v>0.0</v>
      </c>
      <c r="J247" s="31">
        <f>AN247+MIN(T246+AD247-AN247,MAX(0,ROUND(ROUND(Долги!$D$19-SUM($AL247:$AU247),2)-(SUM($H247:I247)-SUM($AL247:AM247)),2)))</f>
        <v>0.0</v>
      </c>
      <c r="K247" s="31">
        <f>AO247+MIN(U246+AE247-AO247,MAX(0,ROUND(ROUND(Долги!$D$19-SUM($AL247:$AU247),2)-(SUM($H247:J247)-SUM($AL247:AN247)),2)))</f>
        <v>0.0</v>
      </c>
      <c r="L247" s="31">
        <f>AP247+MIN(V246+AF247-AP247,MAX(0,ROUND(ROUND(Долги!$D$19-SUM($AL247:$AU247),2)-(SUM($H247:K247)-SUM($AL247:AO247)),2)))</f>
        <v>0.0</v>
      </c>
      <c r="M247" s="31">
        <f>AQ247+MIN(W246+AG247-AQ247,MAX(0,ROUND(ROUND(Долги!$D$19-SUM($AL247:$AU247),2)-(SUM($H247:L247)-SUM($AL247:AP247)),2)))</f>
        <v>0.0</v>
      </c>
      <c r="N247" s="31">
        <f>AR247+MIN(X246+AH247-AR247,MAX(0,ROUND(ROUND(Долги!$D$19-SUM($AL247:$AU247),2)-(SUM($H247:M247)-SUM($AL247:AQ247)),2)))</f>
        <v>0.0</v>
      </c>
      <c r="O247" s="31">
        <f>AS247+MIN(Y246+AI247-AS247,MAX(0,ROUND(ROUND(Долги!$D$19-SUM($AL247:$AU247),2)-(SUM($H247:N247)-SUM($AL247:AR247)),2)))</f>
        <v>0.0</v>
      </c>
      <c r="P247" s="31">
        <f>AT247+MIN(Z246+AJ247-AT247,MAX(0,ROUND(ROUND(Долги!$D$19-SUM($AL247:$AU247),2)-(SUM($H247:O247)-SUM($AL247:AS247)),2)))</f>
        <v>0.0</v>
      </c>
      <c r="Q247" s="31">
        <f>AU247+MIN(AA246+AK247-AU247,MAX(0,ROUND(ROUND(Долги!$D$19-SUM($AL247:$AU247),2)-(SUM($H247:P247)-SUM($AL247:AT247)),2)))</f>
        <v>0.0</v>
      </c>
      <c r="R247" s="31">
        <f>IF(R246+AB247-H247&lt;=0.01,0,ROUND(R246+AB247-H247,2))</f>
        <v>0.0</v>
      </c>
      <c r="S247" s="31">
        <f>IF(S246+AC247-I247&lt;=0.01,0,ROUND(S246+AC247-I247,2))</f>
        <v>0.0</v>
      </c>
      <c r="T247" s="31">
        <f>IF(T246+AD247-J247&lt;=0.01,0,ROUND(T246+AD247-J247,2))</f>
        <v>0.0</v>
      </c>
      <c r="U247" s="31">
        <f>IF(U246+AE247-K247&lt;=0.01,0,ROUND(U246+AE247-K247,2))</f>
        <v>0.0</v>
      </c>
      <c r="V247" s="31">
        <f>IF(V246+AF247-L247&lt;=0.01,0,ROUND(V246+AF247-L247,2))</f>
        <v>0.0</v>
      </c>
      <c r="W247" s="31">
        <f>IF(W246+AG247-M247&lt;=0.01,0,ROUND(W246+AG247-M247,2))</f>
        <v>0.0</v>
      </c>
      <c r="X247" s="31">
        <f>IF(X246+AH247-N247&lt;=0.01,0,ROUND(X246+AH247-N247,2))</f>
        <v>0.0</v>
      </c>
      <c r="Y247" s="31">
        <f>IF(Y246+AI247-O247&lt;=0.01,0,ROUND(Y246+AI247-O247,2))</f>
        <v>0.0</v>
      </c>
      <c r="Z247" s="31">
        <f>IF(Z246+AJ247-P247&lt;=0.01,0,ROUND(Z246+AJ247-P247,2))</f>
        <v>0.0</v>
      </c>
      <c r="AA247" s="31">
        <f>IF(AA246+AK247-Q247&lt;=0.01,0,ROUND(AA246+AK247-Q247,2))</f>
        <v>0.0</v>
      </c>
      <c r="AB247" s="31">
        <f>ROUND(R246*AB$5/1200,2)</f>
        <v>0.0</v>
      </c>
      <c r="AC247" s="31">
        <f>ROUND(S246*AC$5/1200,2)</f>
        <v>0.0</v>
      </c>
      <c r="AD247" s="31">
        <f>ROUND(T246*AD$5/1200,2)</f>
        <v>0.0</v>
      </c>
      <c r="AE247" s="31">
        <f>ROUND(U246*AE$5/1200,2)</f>
        <v>0.0</v>
      </c>
      <c r="AF247" s="31">
        <f>ROUND(V246*AF$5/1200,2)</f>
        <v>0.0</v>
      </c>
      <c r="AG247" s="31">
        <f>ROUND(W246*AG$5/1200,2)</f>
        <v>0.0</v>
      </c>
      <c r="AH247" s="31">
        <f>ROUND(X246*AH$5/1200,2)</f>
        <v>0.0</v>
      </c>
      <c r="AI247" s="31">
        <f>ROUND(Y246*AI$5/1200,2)</f>
        <v>0.0</v>
      </c>
      <c r="AJ247" s="31">
        <f>ROUND(Z246*AJ$5/1200,2)</f>
        <v>0.0</v>
      </c>
      <c r="AK247" s="31">
        <f>ROUND(AA246*AK$5/1200,2)</f>
        <v>0.0</v>
      </c>
      <c r="AL247" s="31">
        <f>MIN(AL$5,R246+AB247)</f>
        <v>0.0</v>
      </c>
      <c r="AM247" s="31">
        <f>MIN(AM$5,S246+AC247)</f>
        <v>0.0</v>
      </c>
      <c r="AN247" s="31">
        <f>MIN(AN$5,T246+AD247)</f>
        <v>0.0</v>
      </c>
      <c r="AO247" s="31">
        <f>MIN(AO$5,U246+AE247)</f>
        <v>0.0</v>
      </c>
      <c r="AP247" s="31">
        <f>MIN(AP$5,V246+AF247)</f>
        <v>0.0</v>
      </c>
      <c r="AQ247" s="31">
        <f>MIN(AQ$5,W246+AG247)</f>
        <v>0.0</v>
      </c>
      <c r="AR247" s="31">
        <f>MIN(AR$5,X246+AH247)</f>
        <v>0.0</v>
      </c>
      <c r="AS247" s="31">
        <f>MIN(AS$5,Y246+AI247)</f>
        <v>0.0</v>
      </c>
      <c r="AT247" s="31">
        <f>MIN(AT$5,Z246+AJ247)</f>
        <v>0.0</v>
      </c>
      <c r="AU247" s="31">
        <f>MIN(AU$5,AA246+AK247)</f>
        <v>0.0</v>
      </c>
    </row>
    <row r="248">
      <c r="A248" s="25" t="str">
        <f>IF(F247&gt;0.005,243,"")</f>
        <v/>
      </c>
      <c r="B248" s="33" t="str">
        <f>IF(A248="","",EDATE(Долги!$D$5,242))</f>
        <v/>
      </c>
      <c r="C248" s="31">
        <f>SUM(H248:Q248)</f>
        <v>0.0</v>
      </c>
      <c r="D248" s="31">
        <f>SUM(AB248:AK248)</f>
        <v>0.0</v>
      </c>
      <c r="E248" s="31">
        <f>C248-D248</f>
        <v>0.0</v>
      </c>
      <c r="F248" s="31">
        <f>SUM(R248:AA248)</f>
        <v>0.0</v>
      </c>
      <c r="G248" s="34" t="str">
        <f>IF(OR(A248="",$F$5&lt;=0),"",REPT("█",ROUND(20*F248/$F$5,0)))</f>
        <v/>
      </c>
      <c r="H248" s="31">
        <f>AL248+MIN(R247+AB248-AL248,MAX(0,ROUND(Долги!$D$19-SUM($AL248:$AU248),2)))</f>
        <v>0.0</v>
      </c>
      <c r="I248" s="31">
        <f>AM248+MIN(S247+AC248-AM248,MAX(0,ROUND(ROUND(Долги!$D$19-SUM($AL248:$AU248),2)-(SUM($H248:H248)-SUM($AL248:AL248)),2)))</f>
        <v>0.0</v>
      </c>
      <c r="J248" s="31">
        <f>AN248+MIN(T247+AD248-AN248,MAX(0,ROUND(ROUND(Долги!$D$19-SUM($AL248:$AU248),2)-(SUM($H248:I248)-SUM($AL248:AM248)),2)))</f>
        <v>0.0</v>
      </c>
      <c r="K248" s="31">
        <f>AO248+MIN(U247+AE248-AO248,MAX(0,ROUND(ROUND(Долги!$D$19-SUM($AL248:$AU248),2)-(SUM($H248:J248)-SUM($AL248:AN248)),2)))</f>
        <v>0.0</v>
      </c>
      <c r="L248" s="31">
        <f>AP248+MIN(V247+AF248-AP248,MAX(0,ROUND(ROUND(Долги!$D$19-SUM($AL248:$AU248),2)-(SUM($H248:K248)-SUM($AL248:AO248)),2)))</f>
        <v>0.0</v>
      </c>
      <c r="M248" s="31">
        <f>AQ248+MIN(W247+AG248-AQ248,MAX(0,ROUND(ROUND(Долги!$D$19-SUM($AL248:$AU248),2)-(SUM($H248:L248)-SUM($AL248:AP248)),2)))</f>
        <v>0.0</v>
      </c>
      <c r="N248" s="31">
        <f>AR248+MIN(X247+AH248-AR248,MAX(0,ROUND(ROUND(Долги!$D$19-SUM($AL248:$AU248),2)-(SUM($H248:M248)-SUM($AL248:AQ248)),2)))</f>
        <v>0.0</v>
      </c>
      <c r="O248" s="31">
        <f>AS248+MIN(Y247+AI248-AS248,MAX(0,ROUND(ROUND(Долги!$D$19-SUM($AL248:$AU248),2)-(SUM($H248:N248)-SUM($AL248:AR248)),2)))</f>
        <v>0.0</v>
      </c>
      <c r="P248" s="31">
        <f>AT248+MIN(Z247+AJ248-AT248,MAX(0,ROUND(ROUND(Долги!$D$19-SUM($AL248:$AU248),2)-(SUM($H248:O248)-SUM($AL248:AS248)),2)))</f>
        <v>0.0</v>
      </c>
      <c r="Q248" s="31">
        <f>AU248+MIN(AA247+AK248-AU248,MAX(0,ROUND(ROUND(Долги!$D$19-SUM($AL248:$AU248),2)-(SUM($H248:P248)-SUM($AL248:AT248)),2)))</f>
        <v>0.0</v>
      </c>
      <c r="R248" s="31">
        <f>IF(R247+AB248-H248&lt;=0.01,0,ROUND(R247+AB248-H248,2))</f>
        <v>0.0</v>
      </c>
      <c r="S248" s="31">
        <f>IF(S247+AC248-I248&lt;=0.01,0,ROUND(S247+AC248-I248,2))</f>
        <v>0.0</v>
      </c>
      <c r="T248" s="31">
        <f>IF(T247+AD248-J248&lt;=0.01,0,ROUND(T247+AD248-J248,2))</f>
        <v>0.0</v>
      </c>
      <c r="U248" s="31">
        <f>IF(U247+AE248-K248&lt;=0.01,0,ROUND(U247+AE248-K248,2))</f>
        <v>0.0</v>
      </c>
      <c r="V248" s="31">
        <f>IF(V247+AF248-L248&lt;=0.01,0,ROUND(V247+AF248-L248,2))</f>
        <v>0.0</v>
      </c>
      <c r="W248" s="31">
        <f>IF(W247+AG248-M248&lt;=0.01,0,ROUND(W247+AG248-M248,2))</f>
        <v>0.0</v>
      </c>
      <c r="X248" s="31">
        <f>IF(X247+AH248-N248&lt;=0.01,0,ROUND(X247+AH248-N248,2))</f>
        <v>0.0</v>
      </c>
      <c r="Y248" s="31">
        <f>IF(Y247+AI248-O248&lt;=0.01,0,ROUND(Y247+AI248-O248,2))</f>
        <v>0.0</v>
      </c>
      <c r="Z248" s="31">
        <f>IF(Z247+AJ248-P248&lt;=0.01,0,ROUND(Z247+AJ248-P248,2))</f>
        <v>0.0</v>
      </c>
      <c r="AA248" s="31">
        <f>IF(AA247+AK248-Q248&lt;=0.01,0,ROUND(AA247+AK248-Q248,2))</f>
        <v>0.0</v>
      </c>
      <c r="AB248" s="31">
        <f>ROUND(R247*AB$5/1200,2)</f>
        <v>0.0</v>
      </c>
      <c r="AC248" s="31">
        <f>ROUND(S247*AC$5/1200,2)</f>
        <v>0.0</v>
      </c>
      <c r="AD248" s="31">
        <f>ROUND(T247*AD$5/1200,2)</f>
        <v>0.0</v>
      </c>
      <c r="AE248" s="31">
        <f>ROUND(U247*AE$5/1200,2)</f>
        <v>0.0</v>
      </c>
      <c r="AF248" s="31">
        <f>ROUND(V247*AF$5/1200,2)</f>
        <v>0.0</v>
      </c>
      <c r="AG248" s="31">
        <f>ROUND(W247*AG$5/1200,2)</f>
        <v>0.0</v>
      </c>
      <c r="AH248" s="31">
        <f>ROUND(X247*AH$5/1200,2)</f>
        <v>0.0</v>
      </c>
      <c r="AI248" s="31">
        <f>ROUND(Y247*AI$5/1200,2)</f>
        <v>0.0</v>
      </c>
      <c r="AJ248" s="31">
        <f>ROUND(Z247*AJ$5/1200,2)</f>
        <v>0.0</v>
      </c>
      <c r="AK248" s="31">
        <f>ROUND(AA247*AK$5/1200,2)</f>
        <v>0.0</v>
      </c>
      <c r="AL248" s="31">
        <f>MIN(AL$5,R247+AB248)</f>
        <v>0.0</v>
      </c>
      <c r="AM248" s="31">
        <f>MIN(AM$5,S247+AC248)</f>
        <v>0.0</v>
      </c>
      <c r="AN248" s="31">
        <f>MIN(AN$5,T247+AD248)</f>
        <v>0.0</v>
      </c>
      <c r="AO248" s="31">
        <f>MIN(AO$5,U247+AE248)</f>
        <v>0.0</v>
      </c>
      <c r="AP248" s="31">
        <f>MIN(AP$5,V247+AF248)</f>
        <v>0.0</v>
      </c>
      <c r="AQ248" s="31">
        <f>MIN(AQ$5,W247+AG248)</f>
        <v>0.0</v>
      </c>
      <c r="AR248" s="31">
        <f>MIN(AR$5,X247+AH248)</f>
        <v>0.0</v>
      </c>
      <c r="AS248" s="31">
        <f>MIN(AS$5,Y247+AI248)</f>
        <v>0.0</v>
      </c>
      <c r="AT248" s="31">
        <f>MIN(AT$5,Z247+AJ248)</f>
        <v>0.0</v>
      </c>
      <c r="AU248" s="31">
        <f>MIN(AU$5,AA247+AK248)</f>
        <v>0.0</v>
      </c>
    </row>
    <row r="249">
      <c r="A249" s="25" t="str">
        <f>IF(F248&gt;0.005,244,"")</f>
        <v/>
      </c>
      <c r="B249" s="33" t="str">
        <f>IF(A249="","",EDATE(Долги!$D$5,243))</f>
        <v/>
      </c>
      <c r="C249" s="31">
        <f>SUM(H249:Q249)</f>
        <v>0.0</v>
      </c>
      <c r="D249" s="31">
        <f>SUM(AB249:AK249)</f>
        <v>0.0</v>
      </c>
      <c r="E249" s="31">
        <f>C249-D249</f>
        <v>0.0</v>
      </c>
      <c r="F249" s="31">
        <f>SUM(R249:AA249)</f>
        <v>0.0</v>
      </c>
      <c r="G249" s="34" t="str">
        <f>IF(OR(A249="",$F$5&lt;=0),"",REPT("█",ROUND(20*F249/$F$5,0)))</f>
        <v/>
      </c>
      <c r="H249" s="31">
        <f>AL249+MIN(R248+AB249-AL249,MAX(0,ROUND(Долги!$D$19-SUM($AL249:$AU249),2)))</f>
        <v>0.0</v>
      </c>
      <c r="I249" s="31">
        <f>AM249+MIN(S248+AC249-AM249,MAX(0,ROUND(ROUND(Долги!$D$19-SUM($AL249:$AU249),2)-(SUM($H249:H249)-SUM($AL249:AL249)),2)))</f>
        <v>0.0</v>
      </c>
      <c r="J249" s="31">
        <f>AN249+MIN(T248+AD249-AN249,MAX(0,ROUND(ROUND(Долги!$D$19-SUM($AL249:$AU249),2)-(SUM($H249:I249)-SUM($AL249:AM249)),2)))</f>
        <v>0.0</v>
      </c>
      <c r="K249" s="31">
        <f>AO249+MIN(U248+AE249-AO249,MAX(0,ROUND(ROUND(Долги!$D$19-SUM($AL249:$AU249),2)-(SUM($H249:J249)-SUM($AL249:AN249)),2)))</f>
        <v>0.0</v>
      </c>
      <c r="L249" s="31">
        <f>AP249+MIN(V248+AF249-AP249,MAX(0,ROUND(ROUND(Долги!$D$19-SUM($AL249:$AU249),2)-(SUM($H249:K249)-SUM($AL249:AO249)),2)))</f>
        <v>0.0</v>
      </c>
      <c r="M249" s="31">
        <f>AQ249+MIN(W248+AG249-AQ249,MAX(0,ROUND(ROUND(Долги!$D$19-SUM($AL249:$AU249),2)-(SUM($H249:L249)-SUM($AL249:AP249)),2)))</f>
        <v>0.0</v>
      </c>
      <c r="N249" s="31">
        <f>AR249+MIN(X248+AH249-AR249,MAX(0,ROUND(ROUND(Долги!$D$19-SUM($AL249:$AU249),2)-(SUM($H249:M249)-SUM($AL249:AQ249)),2)))</f>
        <v>0.0</v>
      </c>
      <c r="O249" s="31">
        <f>AS249+MIN(Y248+AI249-AS249,MAX(0,ROUND(ROUND(Долги!$D$19-SUM($AL249:$AU249),2)-(SUM($H249:N249)-SUM($AL249:AR249)),2)))</f>
        <v>0.0</v>
      </c>
      <c r="P249" s="31">
        <f>AT249+MIN(Z248+AJ249-AT249,MAX(0,ROUND(ROUND(Долги!$D$19-SUM($AL249:$AU249),2)-(SUM($H249:O249)-SUM($AL249:AS249)),2)))</f>
        <v>0.0</v>
      </c>
      <c r="Q249" s="31">
        <f>AU249+MIN(AA248+AK249-AU249,MAX(0,ROUND(ROUND(Долги!$D$19-SUM($AL249:$AU249),2)-(SUM($H249:P249)-SUM($AL249:AT249)),2)))</f>
        <v>0.0</v>
      </c>
      <c r="R249" s="31">
        <f>IF(R248+AB249-H249&lt;=0.01,0,ROUND(R248+AB249-H249,2))</f>
        <v>0.0</v>
      </c>
      <c r="S249" s="31">
        <f>IF(S248+AC249-I249&lt;=0.01,0,ROUND(S248+AC249-I249,2))</f>
        <v>0.0</v>
      </c>
      <c r="T249" s="31">
        <f>IF(T248+AD249-J249&lt;=0.01,0,ROUND(T248+AD249-J249,2))</f>
        <v>0.0</v>
      </c>
      <c r="U249" s="31">
        <f>IF(U248+AE249-K249&lt;=0.01,0,ROUND(U248+AE249-K249,2))</f>
        <v>0.0</v>
      </c>
      <c r="V249" s="31">
        <f>IF(V248+AF249-L249&lt;=0.01,0,ROUND(V248+AF249-L249,2))</f>
        <v>0.0</v>
      </c>
      <c r="W249" s="31">
        <f>IF(W248+AG249-M249&lt;=0.01,0,ROUND(W248+AG249-M249,2))</f>
        <v>0.0</v>
      </c>
      <c r="X249" s="31">
        <f>IF(X248+AH249-N249&lt;=0.01,0,ROUND(X248+AH249-N249,2))</f>
        <v>0.0</v>
      </c>
      <c r="Y249" s="31">
        <f>IF(Y248+AI249-O249&lt;=0.01,0,ROUND(Y248+AI249-O249,2))</f>
        <v>0.0</v>
      </c>
      <c r="Z249" s="31">
        <f>IF(Z248+AJ249-P249&lt;=0.01,0,ROUND(Z248+AJ249-P249,2))</f>
        <v>0.0</v>
      </c>
      <c r="AA249" s="31">
        <f>IF(AA248+AK249-Q249&lt;=0.01,0,ROUND(AA248+AK249-Q249,2))</f>
        <v>0.0</v>
      </c>
      <c r="AB249" s="31">
        <f>ROUND(R248*AB$5/1200,2)</f>
        <v>0.0</v>
      </c>
      <c r="AC249" s="31">
        <f>ROUND(S248*AC$5/1200,2)</f>
        <v>0.0</v>
      </c>
      <c r="AD249" s="31">
        <f>ROUND(T248*AD$5/1200,2)</f>
        <v>0.0</v>
      </c>
      <c r="AE249" s="31">
        <f>ROUND(U248*AE$5/1200,2)</f>
        <v>0.0</v>
      </c>
      <c r="AF249" s="31">
        <f>ROUND(V248*AF$5/1200,2)</f>
        <v>0.0</v>
      </c>
      <c r="AG249" s="31">
        <f>ROUND(W248*AG$5/1200,2)</f>
        <v>0.0</v>
      </c>
      <c r="AH249" s="31">
        <f>ROUND(X248*AH$5/1200,2)</f>
        <v>0.0</v>
      </c>
      <c r="AI249" s="31">
        <f>ROUND(Y248*AI$5/1200,2)</f>
        <v>0.0</v>
      </c>
      <c r="AJ249" s="31">
        <f>ROUND(Z248*AJ$5/1200,2)</f>
        <v>0.0</v>
      </c>
      <c r="AK249" s="31">
        <f>ROUND(AA248*AK$5/1200,2)</f>
        <v>0.0</v>
      </c>
      <c r="AL249" s="31">
        <f>MIN(AL$5,R248+AB249)</f>
        <v>0.0</v>
      </c>
      <c r="AM249" s="31">
        <f>MIN(AM$5,S248+AC249)</f>
        <v>0.0</v>
      </c>
      <c r="AN249" s="31">
        <f>MIN(AN$5,T248+AD249)</f>
        <v>0.0</v>
      </c>
      <c r="AO249" s="31">
        <f>MIN(AO$5,U248+AE249)</f>
        <v>0.0</v>
      </c>
      <c r="AP249" s="31">
        <f>MIN(AP$5,V248+AF249)</f>
        <v>0.0</v>
      </c>
      <c r="AQ249" s="31">
        <f>MIN(AQ$5,W248+AG249)</f>
        <v>0.0</v>
      </c>
      <c r="AR249" s="31">
        <f>MIN(AR$5,X248+AH249)</f>
        <v>0.0</v>
      </c>
      <c r="AS249" s="31">
        <f>MIN(AS$5,Y248+AI249)</f>
        <v>0.0</v>
      </c>
      <c r="AT249" s="31">
        <f>MIN(AT$5,Z248+AJ249)</f>
        <v>0.0</v>
      </c>
      <c r="AU249" s="31">
        <f>MIN(AU$5,AA248+AK249)</f>
        <v>0.0</v>
      </c>
    </row>
    <row r="250">
      <c r="A250" s="25" t="str">
        <f>IF(F249&gt;0.005,245,"")</f>
        <v/>
      </c>
      <c r="B250" s="33" t="str">
        <f>IF(A250="","",EDATE(Долги!$D$5,244))</f>
        <v/>
      </c>
      <c r="C250" s="31">
        <f>SUM(H250:Q250)</f>
        <v>0.0</v>
      </c>
      <c r="D250" s="31">
        <f>SUM(AB250:AK250)</f>
        <v>0.0</v>
      </c>
      <c r="E250" s="31">
        <f>C250-D250</f>
        <v>0.0</v>
      </c>
      <c r="F250" s="31">
        <f>SUM(R250:AA250)</f>
        <v>0.0</v>
      </c>
      <c r="G250" s="34" t="str">
        <f>IF(OR(A250="",$F$5&lt;=0),"",REPT("█",ROUND(20*F250/$F$5,0)))</f>
        <v/>
      </c>
      <c r="H250" s="31">
        <f>AL250+MIN(R249+AB250-AL250,MAX(0,ROUND(Долги!$D$19-SUM($AL250:$AU250),2)))</f>
        <v>0.0</v>
      </c>
      <c r="I250" s="31">
        <f>AM250+MIN(S249+AC250-AM250,MAX(0,ROUND(ROUND(Долги!$D$19-SUM($AL250:$AU250),2)-(SUM($H250:H250)-SUM($AL250:AL250)),2)))</f>
        <v>0.0</v>
      </c>
      <c r="J250" s="31">
        <f>AN250+MIN(T249+AD250-AN250,MAX(0,ROUND(ROUND(Долги!$D$19-SUM($AL250:$AU250),2)-(SUM($H250:I250)-SUM($AL250:AM250)),2)))</f>
        <v>0.0</v>
      </c>
      <c r="K250" s="31">
        <f>AO250+MIN(U249+AE250-AO250,MAX(0,ROUND(ROUND(Долги!$D$19-SUM($AL250:$AU250),2)-(SUM($H250:J250)-SUM($AL250:AN250)),2)))</f>
        <v>0.0</v>
      </c>
      <c r="L250" s="31">
        <f>AP250+MIN(V249+AF250-AP250,MAX(0,ROUND(ROUND(Долги!$D$19-SUM($AL250:$AU250),2)-(SUM($H250:K250)-SUM($AL250:AO250)),2)))</f>
        <v>0.0</v>
      </c>
      <c r="M250" s="31">
        <f>AQ250+MIN(W249+AG250-AQ250,MAX(0,ROUND(ROUND(Долги!$D$19-SUM($AL250:$AU250),2)-(SUM($H250:L250)-SUM($AL250:AP250)),2)))</f>
        <v>0.0</v>
      </c>
      <c r="N250" s="31">
        <f>AR250+MIN(X249+AH250-AR250,MAX(0,ROUND(ROUND(Долги!$D$19-SUM($AL250:$AU250),2)-(SUM($H250:M250)-SUM($AL250:AQ250)),2)))</f>
        <v>0.0</v>
      </c>
      <c r="O250" s="31">
        <f>AS250+MIN(Y249+AI250-AS250,MAX(0,ROUND(ROUND(Долги!$D$19-SUM($AL250:$AU250),2)-(SUM($H250:N250)-SUM($AL250:AR250)),2)))</f>
        <v>0.0</v>
      </c>
      <c r="P250" s="31">
        <f>AT250+MIN(Z249+AJ250-AT250,MAX(0,ROUND(ROUND(Долги!$D$19-SUM($AL250:$AU250),2)-(SUM($H250:O250)-SUM($AL250:AS250)),2)))</f>
        <v>0.0</v>
      </c>
      <c r="Q250" s="31">
        <f>AU250+MIN(AA249+AK250-AU250,MAX(0,ROUND(ROUND(Долги!$D$19-SUM($AL250:$AU250),2)-(SUM($H250:P250)-SUM($AL250:AT250)),2)))</f>
        <v>0.0</v>
      </c>
      <c r="R250" s="31">
        <f>IF(R249+AB250-H250&lt;=0.01,0,ROUND(R249+AB250-H250,2))</f>
        <v>0.0</v>
      </c>
      <c r="S250" s="31">
        <f>IF(S249+AC250-I250&lt;=0.01,0,ROUND(S249+AC250-I250,2))</f>
        <v>0.0</v>
      </c>
      <c r="T250" s="31">
        <f>IF(T249+AD250-J250&lt;=0.01,0,ROUND(T249+AD250-J250,2))</f>
        <v>0.0</v>
      </c>
      <c r="U250" s="31">
        <f>IF(U249+AE250-K250&lt;=0.01,0,ROUND(U249+AE250-K250,2))</f>
        <v>0.0</v>
      </c>
      <c r="V250" s="31">
        <f>IF(V249+AF250-L250&lt;=0.01,0,ROUND(V249+AF250-L250,2))</f>
        <v>0.0</v>
      </c>
      <c r="W250" s="31">
        <f>IF(W249+AG250-M250&lt;=0.01,0,ROUND(W249+AG250-M250,2))</f>
        <v>0.0</v>
      </c>
      <c r="X250" s="31">
        <f>IF(X249+AH250-N250&lt;=0.01,0,ROUND(X249+AH250-N250,2))</f>
        <v>0.0</v>
      </c>
      <c r="Y250" s="31">
        <f>IF(Y249+AI250-O250&lt;=0.01,0,ROUND(Y249+AI250-O250,2))</f>
        <v>0.0</v>
      </c>
      <c r="Z250" s="31">
        <f>IF(Z249+AJ250-P250&lt;=0.01,0,ROUND(Z249+AJ250-P250,2))</f>
        <v>0.0</v>
      </c>
      <c r="AA250" s="31">
        <f>IF(AA249+AK250-Q250&lt;=0.01,0,ROUND(AA249+AK250-Q250,2))</f>
        <v>0.0</v>
      </c>
      <c r="AB250" s="31">
        <f>ROUND(R249*AB$5/1200,2)</f>
        <v>0.0</v>
      </c>
      <c r="AC250" s="31">
        <f>ROUND(S249*AC$5/1200,2)</f>
        <v>0.0</v>
      </c>
      <c r="AD250" s="31">
        <f>ROUND(T249*AD$5/1200,2)</f>
        <v>0.0</v>
      </c>
      <c r="AE250" s="31">
        <f>ROUND(U249*AE$5/1200,2)</f>
        <v>0.0</v>
      </c>
      <c r="AF250" s="31">
        <f>ROUND(V249*AF$5/1200,2)</f>
        <v>0.0</v>
      </c>
      <c r="AG250" s="31">
        <f>ROUND(W249*AG$5/1200,2)</f>
        <v>0.0</v>
      </c>
      <c r="AH250" s="31">
        <f>ROUND(X249*AH$5/1200,2)</f>
        <v>0.0</v>
      </c>
      <c r="AI250" s="31">
        <f>ROUND(Y249*AI$5/1200,2)</f>
        <v>0.0</v>
      </c>
      <c r="AJ250" s="31">
        <f>ROUND(Z249*AJ$5/1200,2)</f>
        <v>0.0</v>
      </c>
      <c r="AK250" s="31">
        <f>ROUND(AA249*AK$5/1200,2)</f>
        <v>0.0</v>
      </c>
      <c r="AL250" s="31">
        <f>MIN(AL$5,R249+AB250)</f>
        <v>0.0</v>
      </c>
      <c r="AM250" s="31">
        <f>MIN(AM$5,S249+AC250)</f>
        <v>0.0</v>
      </c>
      <c r="AN250" s="31">
        <f>MIN(AN$5,T249+AD250)</f>
        <v>0.0</v>
      </c>
      <c r="AO250" s="31">
        <f>MIN(AO$5,U249+AE250)</f>
        <v>0.0</v>
      </c>
      <c r="AP250" s="31">
        <f>MIN(AP$5,V249+AF250)</f>
        <v>0.0</v>
      </c>
      <c r="AQ250" s="31">
        <f>MIN(AQ$5,W249+AG250)</f>
        <v>0.0</v>
      </c>
      <c r="AR250" s="31">
        <f>MIN(AR$5,X249+AH250)</f>
        <v>0.0</v>
      </c>
      <c r="AS250" s="31">
        <f>MIN(AS$5,Y249+AI250)</f>
        <v>0.0</v>
      </c>
      <c r="AT250" s="31">
        <f>MIN(AT$5,Z249+AJ250)</f>
        <v>0.0</v>
      </c>
      <c r="AU250" s="31">
        <f>MIN(AU$5,AA249+AK250)</f>
        <v>0.0</v>
      </c>
    </row>
    <row r="251">
      <c r="A251" s="25" t="str">
        <f>IF(F250&gt;0.005,246,"")</f>
        <v/>
      </c>
      <c r="B251" s="33" t="str">
        <f>IF(A251="","",EDATE(Долги!$D$5,245))</f>
        <v/>
      </c>
      <c r="C251" s="31">
        <f>SUM(H251:Q251)</f>
        <v>0.0</v>
      </c>
      <c r="D251" s="31">
        <f>SUM(AB251:AK251)</f>
        <v>0.0</v>
      </c>
      <c r="E251" s="31">
        <f>C251-D251</f>
        <v>0.0</v>
      </c>
      <c r="F251" s="31">
        <f>SUM(R251:AA251)</f>
        <v>0.0</v>
      </c>
      <c r="G251" s="34" t="str">
        <f>IF(OR(A251="",$F$5&lt;=0),"",REPT("█",ROUND(20*F251/$F$5,0)))</f>
        <v/>
      </c>
      <c r="H251" s="31">
        <f>AL251+MIN(R250+AB251-AL251,MAX(0,ROUND(Долги!$D$19-SUM($AL251:$AU251),2)))</f>
        <v>0.0</v>
      </c>
      <c r="I251" s="31">
        <f>AM251+MIN(S250+AC251-AM251,MAX(0,ROUND(ROUND(Долги!$D$19-SUM($AL251:$AU251),2)-(SUM($H251:H251)-SUM($AL251:AL251)),2)))</f>
        <v>0.0</v>
      </c>
      <c r="J251" s="31">
        <f>AN251+MIN(T250+AD251-AN251,MAX(0,ROUND(ROUND(Долги!$D$19-SUM($AL251:$AU251),2)-(SUM($H251:I251)-SUM($AL251:AM251)),2)))</f>
        <v>0.0</v>
      </c>
      <c r="K251" s="31">
        <f>AO251+MIN(U250+AE251-AO251,MAX(0,ROUND(ROUND(Долги!$D$19-SUM($AL251:$AU251),2)-(SUM($H251:J251)-SUM($AL251:AN251)),2)))</f>
        <v>0.0</v>
      </c>
      <c r="L251" s="31">
        <f>AP251+MIN(V250+AF251-AP251,MAX(0,ROUND(ROUND(Долги!$D$19-SUM($AL251:$AU251),2)-(SUM($H251:K251)-SUM($AL251:AO251)),2)))</f>
        <v>0.0</v>
      </c>
      <c r="M251" s="31">
        <f>AQ251+MIN(W250+AG251-AQ251,MAX(0,ROUND(ROUND(Долги!$D$19-SUM($AL251:$AU251),2)-(SUM($H251:L251)-SUM($AL251:AP251)),2)))</f>
        <v>0.0</v>
      </c>
      <c r="N251" s="31">
        <f>AR251+MIN(X250+AH251-AR251,MAX(0,ROUND(ROUND(Долги!$D$19-SUM($AL251:$AU251),2)-(SUM($H251:M251)-SUM($AL251:AQ251)),2)))</f>
        <v>0.0</v>
      </c>
      <c r="O251" s="31">
        <f>AS251+MIN(Y250+AI251-AS251,MAX(0,ROUND(ROUND(Долги!$D$19-SUM($AL251:$AU251),2)-(SUM($H251:N251)-SUM($AL251:AR251)),2)))</f>
        <v>0.0</v>
      </c>
      <c r="P251" s="31">
        <f>AT251+MIN(Z250+AJ251-AT251,MAX(0,ROUND(ROUND(Долги!$D$19-SUM($AL251:$AU251),2)-(SUM($H251:O251)-SUM($AL251:AS251)),2)))</f>
        <v>0.0</v>
      </c>
      <c r="Q251" s="31">
        <f>AU251+MIN(AA250+AK251-AU251,MAX(0,ROUND(ROUND(Долги!$D$19-SUM($AL251:$AU251),2)-(SUM($H251:P251)-SUM($AL251:AT251)),2)))</f>
        <v>0.0</v>
      </c>
      <c r="R251" s="31">
        <f>IF(R250+AB251-H251&lt;=0.01,0,ROUND(R250+AB251-H251,2))</f>
        <v>0.0</v>
      </c>
      <c r="S251" s="31">
        <f>IF(S250+AC251-I251&lt;=0.01,0,ROUND(S250+AC251-I251,2))</f>
        <v>0.0</v>
      </c>
      <c r="T251" s="31">
        <f>IF(T250+AD251-J251&lt;=0.01,0,ROUND(T250+AD251-J251,2))</f>
        <v>0.0</v>
      </c>
      <c r="U251" s="31">
        <f>IF(U250+AE251-K251&lt;=0.01,0,ROUND(U250+AE251-K251,2))</f>
        <v>0.0</v>
      </c>
      <c r="V251" s="31">
        <f>IF(V250+AF251-L251&lt;=0.01,0,ROUND(V250+AF251-L251,2))</f>
        <v>0.0</v>
      </c>
      <c r="W251" s="31">
        <f>IF(W250+AG251-M251&lt;=0.01,0,ROUND(W250+AG251-M251,2))</f>
        <v>0.0</v>
      </c>
      <c r="X251" s="31">
        <f>IF(X250+AH251-N251&lt;=0.01,0,ROUND(X250+AH251-N251,2))</f>
        <v>0.0</v>
      </c>
      <c r="Y251" s="31">
        <f>IF(Y250+AI251-O251&lt;=0.01,0,ROUND(Y250+AI251-O251,2))</f>
        <v>0.0</v>
      </c>
      <c r="Z251" s="31">
        <f>IF(Z250+AJ251-P251&lt;=0.01,0,ROUND(Z250+AJ251-P251,2))</f>
        <v>0.0</v>
      </c>
      <c r="AA251" s="31">
        <f>IF(AA250+AK251-Q251&lt;=0.01,0,ROUND(AA250+AK251-Q251,2))</f>
        <v>0.0</v>
      </c>
      <c r="AB251" s="31">
        <f>ROUND(R250*AB$5/1200,2)</f>
        <v>0.0</v>
      </c>
      <c r="AC251" s="31">
        <f>ROUND(S250*AC$5/1200,2)</f>
        <v>0.0</v>
      </c>
      <c r="AD251" s="31">
        <f>ROUND(T250*AD$5/1200,2)</f>
        <v>0.0</v>
      </c>
      <c r="AE251" s="31">
        <f>ROUND(U250*AE$5/1200,2)</f>
        <v>0.0</v>
      </c>
      <c r="AF251" s="31">
        <f>ROUND(V250*AF$5/1200,2)</f>
        <v>0.0</v>
      </c>
      <c r="AG251" s="31">
        <f>ROUND(W250*AG$5/1200,2)</f>
        <v>0.0</v>
      </c>
      <c r="AH251" s="31">
        <f>ROUND(X250*AH$5/1200,2)</f>
        <v>0.0</v>
      </c>
      <c r="AI251" s="31">
        <f>ROUND(Y250*AI$5/1200,2)</f>
        <v>0.0</v>
      </c>
      <c r="AJ251" s="31">
        <f>ROUND(Z250*AJ$5/1200,2)</f>
        <v>0.0</v>
      </c>
      <c r="AK251" s="31">
        <f>ROUND(AA250*AK$5/1200,2)</f>
        <v>0.0</v>
      </c>
      <c r="AL251" s="31">
        <f>MIN(AL$5,R250+AB251)</f>
        <v>0.0</v>
      </c>
      <c r="AM251" s="31">
        <f>MIN(AM$5,S250+AC251)</f>
        <v>0.0</v>
      </c>
      <c r="AN251" s="31">
        <f>MIN(AN$5,T250+AD251)</f>
        <v>0.0</v>
      </c>
      <c r="AO251" s="31">
        <f>MIN(AO$5,U250+AE251)</f>
        <v>0.0</v>
      </c>
      <c r="AP251" s="31">
        <f>MIN(AP$5,V250+AF251)</f>
        <v>0.0</v>
      </c>
      <c r="AQ251" s="31">
        <f>MIN(AQ$5,W250+AG251)</f>
        <v>0.0</v>
      </c>
      <c r="AR251" s="31">
        <f>MIN(AR$5,X250+AH251)</f>
        <v>0.0</v>
      </c>
      <c r="AS251" s="31">
        <f>MIN(AS$5,Y250+AI251)</f>
        <v>0.0</v>
      </c>
      <c r="AT251" s="31">
        <f>MIN(AT$5,Z250+AJ251)</f>
        <v>0.0</v>
      </c>
      <c r="AU251" s="31">
        <f>MIN(AU$5,AA250+AK251)</f>
        <v>0.0</v>
      </c>
    </row>
    <row r="252">
      <c r="A252" s="25" t="str">
        <f>IF(F251&gt;0.005,247,"")</f>
        <v/>
      </c>
      <c r="B252" s="33" t="str">
        <f>IF(A252="","",EDATE(Долги!$D$5,246))</f>
        <v/>
      </c>
      <c r="C252" s="31">
        <f>SUM(H252:Q252)</f>
        <v>0.0</v>
      </c>
      <c r="D252" s="31">
        <f>SUM(AB252:AK252)</f>
        <v>0.0</v>
      </c>
      <c r="E252" s="31">
        <f>C252-D252</f>
        <v>0.0</v>
      </c>
      <c r="F252" s="31">
        <f>SUM(R252:AA252)</f>
        <v>0.0</v>
      </c>
      <c r="G252" s="34" t="str">
        <f>IF(OR(A252="",$F$5&lt;=0),"",REPT("█",ROUND(20*F252/$F$5,0)))</f>
        <v/>
      </c>
      <c r="H252" s="31">
        <f>AL252+MIN(R251+AB252-AL252,MAX(0,ROUND(Долги!$D$19-SUM($AL252:$AU252),2)))</f>
        <v>0.0</v>
      </c>
      <c r="I252" s="31">
        <f>AM252+MIN(S251+AC252-AM252,MAX(0,ROUND(ROUND(Долги!$D$19-SUM($AL252:$AU252),2)-(SUM($H252:H252)-SUM($AL252:AL252)),2)))</f>
        <v>0.0</v>
      </c>
      <c r="J252" s="31">
        <f>AN252+MIN(T251+AD252-AN252,MAX(0,ROUND(ROUND(Долги!$D$19-SUM($AL252:$AU252),2)-(SUM($H252:I252)-SUM($AL252:AM252)),2)))</f>
        <v>0.0</v>
      </c>
      <c r="K252" s="31">
        <f>AO252+MIN(U251+AE252-AO252,MAX(0,ROUND(ROUND(Долги!$D$19-SUM($AL252:$AU252),2)-(SUM($H252:J252)-SUM($AL252:AN252)),2)))</f>
        <v>0.0</v>
      </c>
      <c r="L252" s="31">
        <f>AP252+MIN(V251+AF252-AP252,MAX(0,ROUND(ROUND(Долги!$D$19-SUM($AL252:$AU252),2)-(SUM($H252:K252)-SUM($AL252:AO252)),2)))</f>
        <v>0.0</v>
      </c>
      <c r="M252" s="31">
        <f>AQ252+MIN(W251+AG252-AQ252,MAX(0,ROUND(ROUND(Долги!$D$19-SUM($AL252:$AU252),2)-(SUM($H252:L252)-SUM($AL252:AP252)),2)))</f>
        <v>0.0</v>
      </c>
      <c r="N252" s="31">
        <f>AR252+MIN(X251+AH252-AR252,MAX(0,ROUND(ROUND(Долги!$D$19-SUM($AL252:$AU252),2)-(SUM($H252:M252)-SUM($AL252:AQ252)),2)))</f>
        <v>0.0</v>
      </c>
      <c r="O252" s="31">
        <f>AS252+MIN(Y251+AI252-AS252,MAX(0,ROUND(ROUND(Долги!$D$19-SUM($AL252:$AU252),2)-(SUM($H252:N252)-SUM($AL252:AR252)),2)))</f>
        <v>0.0</v>
      </c>
      <c r="P252" s="31">
        <f>AT252+MIN(Z251+AJ252-AT252,MAX(0,ROUND(ROUND(Долги!$D$19-SUM($AL252:$AU252),2)-(SUM($H252:O252)-SUM($AL252:AS252)),2)))</f>
        <v>0.0</v>
      </c>
      <c r="Q252" s="31">
        <f>AU252+MIN(AA251+AK252-AU252,MAX(0,ROUND(ROUND(Долги!$D$19-SUM($AL252:$AU252),2)-(SUM($H252:P252)-SUM($AL252:AT252)),2)))</f>
        <v>0.0</v>
      </c>
      <c r="R252" s="31">
        <f>IF(R251+AB252-H252&lt;=0.01,0,ROUND(R251+AB252-H252,2))</f>
        <v>0.0</v>
      </c>
      <c r="S252" s="31">
        <f>IF(S251+AC252-I252&lt;=0.01,0,ROUND(S251+AC252-I252,2))</f>
        <v>0.0</v>
      </c>
      <c r="T252" s="31">
        <f>IF(T251+AD252-J252&lt;=0.01,0,ROUND(T251+AD252-J252,2))</f>
        <v>0.0</v>
      </c>
      <c r="U252" s="31">
        <f>IF(U251+AE252-K252&lt;=0.01,0,ROUND(U251+AE252-K252,2))</f>
        <v>0.0</v>
      </c>
      <c r="V252" s="31">
        <f>IF(V251+AF252-L252&lt;=0.01,0,ROUND(V251+AF252-L252,2))</f>
        <v>0.0</v>
      </c>
      <c r="W252" s="31">
        <f>IF(W251+AG252-M252&lt;=0.01,0,ROUND(W251+AG252-M252,2))</f>
        <v>0.0</v>
      </c>
      <c r="X252" s="31">
        <f>IF(X251+AH252-N252&lt;=0.01,0,ROUND(X251+AH252-N252,2))</f>
        <v>0.0</v>
      </c>
      <c r="Y252" s="31">
        <f>IF(Y251+AI252-O252&lt;=0.01,0,ROUND(Y251+AI252-O252,2))</f>
        <v>0.0</v>
      </c>
      <c r="Z252" s="31">
        <f>IF(Z251+AJ252-P252&lt;=0.01,0,ROUND(Z251+AJ252-P252,2))</f>
        <v>0.0</v>
      </c>
      <c r="AA252" s="31">
        <f>IF(AA251+AK252-Q252&lt;=0.01,0,ROUND(AA251+AK252-Q252,2))</f>
        <v>0.0</v>
      </c>
      <c r="AB252" s="31">
        <f>ROUND(R251*AB$5/1200,2)</f>
        <v>0.0</v>
      </c>
      <c r="AC252" s="31">
        <f>ROUND(S251*AC$5/1200,2)</f>
        <v>0.0</v>
      </c>
      <c r="AD252" s="31">
        <f>ROUND(T251*AD$5/1200,2)</f>
        <v>0.0</v>
      </c>
      <c r="AE252" s="31">
        <f>ROUND(U251*AE$5/1200,2)</f>
        <v>0.0</v>
      </c>
      <c r="AF252" s="31">
        <f>ROUND(V251*AF$5/1200,2)</f>
        <v>0.0</v>
      </c>
      <c r="AG252" s="31">
        <f>ROUND(W251*AG$5/1200,2)</f>
        <v>0.0</v>
      </c>
      <c r="AH252" s="31">
        <f>ROUND(X251*AH$5/1200,2)</f>
        <v>0.0</v>
      </c>
      <c r="AI252" s="31">
        <f>ROUND(Y251*AI$5/1200,2)</f>
        <v>0.0</v>
      </c>
      <c r="AJ252" s="31">
        <f>ROUND(Z251*AJ$5/1200,2)</f>
        <v>0.0</v>
      </c>
      <c r="AK252" s="31">
        <f>ROUND(AA251*AK$5/1200,2)</f>
        <v>0.0</v>
      </c>
      <c r="AL252" s="31">
        <f>MIN(AL$5,R251+AB252)</f>
        <v>0.0</v>
      </c>
      <c r="AM252" s="31">
        <f>MIN(AM$5,S251+AC252)</f>
        <v>0.0</v>
      </c>
      <c r="AN252" s="31">
        <f>MIN(AN$5,T251+AD252)</f>
        <v>0.0</v>
      </c>
      <c r="AO252" s="31">
        <f>MIN(AO$5,U251+AE252)</f>
        <v>0.0</v>
      </c>
      <c r="AP252" s="31">
        <f>MIN(AP$5,V251+AF252)</f>
        <v>0.0</v>
      </c>
      <c r="AQ252" s="31">
        <f>MIN(AQ$5,W251+AG252)</f>
        <v>0.0</v>
      </c>
      <c r="AR252" s="31">
        <f>MIN(AR$5,X251+AH252)</f>
        <v>0.0</v>
      </c>
      <c r="AS252" s="31">
        <f>MIN(AS$5,Y251+AI252)</f>
        <v>0.0</v>
      </c>
      <c r="AT252" s="31">
        <f>MIN(AT$5,Z251+AJ252)</f>
        <v>0.0</v>
      </c>
      <c r="AU252" s="31">
        <f>MIN(AU$5,AA251+AK252)</f>
        <v>0.0</v>
      </c>
    </row>
    <row r="253">
      <c r="A253" s="25" t="str">
        <f>IF(F252&gt;0.005,248,"")</f>
        <v/>
      </c>
      <c r="B253" s="33" t="str">
        <f>IF(A253="","",EDATE(Долги!$D$5,247))</f>
        <v/>
      </c>
      <c r="C253" s="31">
        <f>SUM(H253:Q253)</f>
        <v>0.0</v>
      </c>
      <c r="D253" s="31">
        <f>SUM(AB253:AK253)</f>
        <v>0.0</v>
      </c>
      <c r="E253" s="31">
        <f>C253-D253</f>
        <v>0.0</v>
      </c>
      <c r="F253" s="31">
        <f>SUM(R253:AA253)</f>
        <v>0.0</v>
      </c>
      <c r="G253" s="34" t="str">
        <f>IF(OR(A253="",$F$5&lt;=0),"",REPT("█",ROUND(20*F253/$F$5,0)))</f>
        <v/>
      </c>
      <c r="H253" s="31">
        <f>AL253+MIN(R252+AB253-AL253,MAX(0,ROUND(Долги!$D$19-SUM($AL253:$AU253),2)))</f>
        <v>0.0</v>
      </c>
      <c r="I253" s="31">
        <f>AM253+MIN(S252+AC253-AM253,MAX(0,ROUND(ROUND(Долги!$D$19-SUM($AL253:$AU253),2)-(SUM($H253:H253)-SUM($AL253:AL253)),2)))</f>
        <v>0.0</v>
      </c>
      <c r="J253" s="31">
        <f>AN253+MIN(T252+AD253-AN253,MAX(0,ROUND(ROUND(Долги!$D$19-SUM($AL253:$AU253),2)-(SUM($H253:I253)-SUM($AL253:AM253)),2)))</f>
        <v>0.0</v>
      </c>
      <c r="K253" s="31">
        <f>AO253+MIN(U252+AE253-AO253,MAX(0,ROUND(ROUND(Долги!$D$19-SUM($AL253:$AU253),2)-(SUM($H253:J253)-SUM($AL253:AN253)),2)))</f>
        <v>0.0</v>
      </c>
      <c r="L253" s="31">
        <f>AP253+MIN(V252+AF253-AP253,MAX(0,ROUND(ROUND(Долги!$D$19-SUM($AL253:$AU253),2)-(SUM($H253:K253)-SUM($AL253:AO253)),2)))</f>
        <v>0.0</v>
      </c>
      <c r="M253" s="31">
        <f>AQ253+MIN(W252+AG253-AQ253,MAX(0,ROUND(ROUND(Долги!$D$19-SUM($AL253:$AU253),2)-(SUM($H253:L253)-SUM($AL253:AP253)),2)))</f>
        <v>0.0</v>
      </c>
      <c r="N253" s="31">
        <f>AR253+MIN(X252+AH253-AR253,MAX(0,ROUND(ROUND(Долги!$D$19-SUM($AL253:$AU253),2)-(SUM($H253:M253)-SUM($AL253:AQ253)),2)))</f>
        <v>0.0</v>
      </c>
      <c r="O253" s="31">
        <f>AS253+MIN(Y252+AI253-AS253,MAX(0,ROUND(ROUND(Долги!$D$19-SUM($AL253:$AU253),2)-(SUM($H253:N253)-SUM($AL253:AR253)),2)))</f>
        <v>0.0</v>
      </c>
      <c r="P253" s="31">
        <f>AT253+MIN(Z252+AJ253-AT253,MAX(0,ROUND(ROUND(Долги!$D$19-SUM($AL253:$AU253),2)-(SUM($H253:O253)-SUM($AL253:AS253)),2)))</f>
        <v>0.0</v>
      </c>
      <c r="Q253" s="31">
        <f>AU253+MIN(AA252+AK253-AU253,MAX(0,ROUND(ROUND(Долги!$D$19-SUM($AL253:$AU253),2)-(SUM($H253:P253)-SUM($AL253:AT253)),2)))</f>
        <v>0.0</v>
      </c>
      <c r="R253" s="31">
        <f>IF(R252+AB253-H253&lt;=0.01,0,ROUND(R252+AB253-H253,2))</f>
        <v>0.0</v>
      </c>
      <c r="S253" s="31">
        <f>IF(S252+AC253-I253&lt;=0.01,0,ROUND(S252+AC253-I253,2))</f>
        <v>0.0</v>
      </c>
      <c r="T253" s="31">
        <f>IF(T252+AD253-J253&lt;=0.01,0,ROUND(T252+AD253-J253,2))</f>
        <v>0.0</v>
      </c>
      <c r="U253" s="31">
        <f>IF(U252+AE253-K253&lt;=0.01,0,ROUND(U252+AE253-K253,2))</f>
        <v>0.0</v>
      </c>
      <c r="V253" s="31">
        <f>IF(V252+AF253-L253&lt;=0.01,0,ROUND(V252+AF253-L253,2))</f>
        <v>0.0</v>
      </c>
      <c r="W253" s="31">
        <f>IF(W252+AG253-M253&lt;=0.01,0,ROUND(W252+AG253-M253,2))</f>
        <v>0.0</v>
      </c>
      <c r="X253" s="31">
        <f>IF(X252+AH253-N253&lt;=0.01,0,ROUND(X252+AH253-N253,2))</f>
        <v>0.0</v>
      </c>
      <c r="Y253" s="31">
        <f>IF(Y252+AI253-O253&lt;=0.01,0,ROUND(Y252+AI253-O253,2))</f>
        <v>0.0</v>
      </c>
      <c r="Z253" s="31">
        <f>IF(Z252+AJ253-P253&lt;=0.01,0,ROUND(Z252+AJ253-P253,2))</f>
        <v>0.0</v>
      </c>
      <c r="AA253" s="31">
        <f>IF(AA252+AK253-Q253&lt;=0.01,0,ROUND(AA252+AK253-Q253,2))</f>
        <v>0.0</v>
      </c>
      <c r="AB253" s="31">
        <f>ROUND(R252*AB$5/1200,2)</f>
        <v>0.0</v>
      </c>
      <c r="AC253" s="31">
        <f>ROUND(S252*AC$5/1200,2)</f>
        <v>0.0</v>
      </c>
      <c r="AD253" s="31">
        <f>ROUND(T252*AD$5/1200,2)</f>
        <v>0.0</v>
      </c>
      <c r="AE253" s="31">
        <f>ROUND(U252*AE$5/1200,2)</f>
        <v>0.0</v>
      </c>
      <c r="AF253" s="31">
        <f>ROUND(V252*AF$5/1200,2)</f>
        <v>0.0</v>
      </c>
      <c r="AG253" s="31">
        <f>ROUND(W252*AG$5/1200,2)</f>
        <v>0.0</v>
      </c>
      <c r="AH253" s="31">
        <f>ROUND(X252*AH$5/1200,2)</f>
        <v>0.0</v>
      </c>
      <c r="AI253" s="31">
        <f>ROUND(Y252*AI$5/1200,2)</f>
        <v>0.0</v>
      </c>
      <c r="AJ253" s="31">
        <f>ROUND(Z252*AJ$5/1200,2)</f>
        <v>0.0</v>
      </c>
      <c r="AK253" s="31">
        <f>ROUND(AA252*AK$5/1200,2)</f>
        <v>0.0</v>
      </c>
      <c r="AL253" s="31">
        <f>MIN(AL$5,R252+AB253)</f>
        <v>0.0</v>
      </c>
      <c r="AM253" s="31">
        <f>MIN(AM$5,S252+AC253)</f>
        <v>0.0</v>
      </c>
      <c r="AN253" s="31">
        <f>MIN(AN$5,T252+AD253)</f>
        <v>0.0</v>
      </c>
      <c r="AO253" s="31">
        <f>MIN(AO$5,U252+AE253)</f>
        <v>0.0</v>
      </c>
      <c r="AP253" s="31">
        <f>MIN(AP$5,V252+AF253)</f>
        <v>0.0</v>
      </c>
      <c r="AQ253" s="31">
        <f>MIN(AQ$5,W252+AG253)</f>
        <v>0.0</v>
      </c>
      <c r="AR253" s="31">
        <f>MIN(AR$5,X252+AH253)</f>
        <v>0.0</v>
      </c>
      <c r="AS253" s="31">
        <f>MIN(AS$5,Y252+AI253)</f>
        <v>0.0</v>
      </c>
      <c r="AT253" s="31">
        <f>MIN(AT$5,Z252+AJ253)</f>
        <v>0.0</v>
      </c>
      <c r="AU253" s="31">
        <f>MIN(AU$5,AA252+AK253)</f>
        <v>0.0</v>
      </c>
    </row>
    <row r="254">
      <c r="A254" s="25" t="str">
        <f>IF(F253&gt;0.005,249,"")</f>
        <v/>
      </c>
      <c r="B254" s="33" t="str">
        <f>IF(A254="","",EDATE(Долги!$D$5,248))</f>
        <v/>
      </c>
      <c r="C254" s="31">
        <f>SUM(H254:Q254)</f>
        <v>0.0</v>
      </c>
      <c r="D254" s="31">
        <f>SUM(AB254:AK254)</f>
        <v>0.0</v>
      </c>
      <c r="E254" s="31">
        <f>C254-D254</f>
        <v>0.0</v>
      </c>
      <c r="F254" s="31">
        <f>SUM(R254:AA254)</f>
        <v>0.0</v>
      </c>
      <c r="G254" s="34" t="str">
        <f>IF(OR(A254="",$F$5&lt;=0),"",REPT("█",ROUND(20*F254/$F$5,0)))</f>
        <v/>
      </c>
      <c r="H254" s="31">
        <f>AL254+MIN(R253+AB254-AL254,MAX(0,ROUND(Долги!$D$19-SUM($AL254:$AU254),2)))</f>
        <v>0.0</v>
      </c>
      <c r="I254" s="31">
        <f>AM254+MIN(S253+AC254-AM254,MAX(0,ROUND(ROUND(Долги!$D$19-SUM($AL254:$AU254),2)-(SUM($H254:H254)-SUM($AL254:AL254)),2)))</f>
        <v>0.0</v>
      </c>
      <c r="J254" s="31">
        <f>AN254+MIN(T253+AD254-AN254,MAX(0,ROUND(ROUND(Долги!$D$19-SUM($AL254:$AU254),2)-(SUM($H254:I254)-SUM($AL254:AM254)),2)))</f>
        <v>0.0</v>
      </c>
      <c r="K254" s="31">
        <f>AO254+MIN(U253+AE254-AO254,MAX(0,ROUND(ROUND(Долги!$D$19-SUM($AL254:$AU254),2)-(SUM($H254:J254)-SUM($AL254:AN254)),2)))</f>
        <v>0.0</v>
      </c>
      <c r="L254" s="31">
        <f>AP254+MIN(V253+AF254-AP254,MAX(0,ROUND(ROUND(Долги!$D$19-SUM($AL254:$AU254),2)-(SUM($H254:K254)-SUM($AL254:AO254)),2)))</f>
        <v>0.0</v>
      </c>
      <c r="M254" s="31">
        <f>AQ254+MIN(W253+AG254-AQ254,MAX(0,ROUND(ROUND(Долги!$D$19-SUM($AL254:$AU254),2)-(SUM($H254:L254)-SUM($AL254:AP254)),2)))</f>
        <v>0.0</v>
      </c>
      <c r="N254" s="31">
        <f>AR254+MIN(X253+AH254-AR254,MAX(0,ROUND(ROUND(Долги!$D$19-SUM($AL254:$AU254),2)-(SUM($H254:M254)-SUM($AL254:AQ254)),2)))</f>
        <v>0.0</v>
      </c>
      <c r="O254" s="31">
        <f>AS254+MIN(Y253+AI254-AS254,MAX(0,ROUND(ROUND(Долги!$D$19-SUM($AL254:$AU254),2)-(SUM($H254:N254)-SUM($AL254:AR254)),2)))</f>
        <v>0.0</v>
      </c>
      <c r="P254" s="31">
        <f>AT254+MIN(Z253+AJ254-AT254,MAX(0,ROUND(ROUND(Долги!$D$19-SUM($AL254:$AU254),2)-(SUM($H254:O254)-SUM($AL254:AS254)),2)))</f>
        <v>0.0</v>
      </c>
      <c r="Q254" s="31">
        <f>AU254+MIN(AA253+AK254-AU254,MAX(0,ROUND(ROUND(Долги!$D$19-SUM($AL254:$AU254),2)-(SUM($H254:P254)-SUM($AL254:AT254)),2)))</f>
        <v>0.0</v>
      </c>
      <c r="R254" s="31">
        <f>IF(R253+AB254-H254&lt;=0.01,0,ROUND(R253+AB254-H254,2))</f>
        <v>0.0</v>
      </c>
      <c r="S254" s="31">
        <f>IF(S253+AC254-I254&lt;=0.01,0,ROUND(S253+AC254-I254,2))</f>
        <v>0.0</v>
      </c>
      <c r="T254" s="31">
        <f>IF(T253+AD254-J254&lt;=0.01,0,ROUND(T253+AD254-J254,2))</f>
        <v>0.0</v>
      </c>
      <c r="U254" s="31">
        <f>IF(U253+AE254-K254&lt;=0.01,0,ROUND(U253+AE254-K254,2))</f>
        <v>0.0</v>
      </c>
      <c r="V254" s="31">
        <f>IF(V253+AF254-L254&lt;=0.01,0,ROUND(V253+AF254-L254,2))</f>
        <v>0.0</v>
      </c>
      <c r="W254" s="31">
        <f>IF(W253+AG254-M254&lt;=0.01,0,ROUND(W253+AG254-M254,2))</f>
        <v>0.0</v>
      </c>
      <c r="X254" s="31">
        <f>IF(X253+AH254-N254&lt;=0.01,0,ROUND(X253+AH254-N254,2))</f>
        <v>0.0</v>
      </c>
      <c r="Y254" s="31">
        <f>IF(Y253+AI254-O254&lt;=0.01,0,ROUND(Y253+AI254-O254,2))</f>
        <v>0.0</v>
      </c>
      <c r="Z254" s="31">
        <f>IF(Z253+AJ254-P254&lt;=0.01,0,ROUND(Z253+AJ254-P254,2))</f>
        <v>0.0</v>
      </c>
      <c r="AA254" s="31">
        <f>IF(AA253+AK254-Q254&lt;=0.01,0,ROUND(AA253+AK254-Q254,2))</f>
        <v>0.0</v>
      </c>
      <c r="AB254" s="31">
        <f>ROUND(R253*AB$5/1200,2)</f>
        <v>0.0</v>
      </c>
      <c r="AC254" s="31">
        <f>ROUND(S253*AC$5/1200,2)</f>
        <v>0.0</v>
      </c>
      <c r="AD254" s="31">
        <f>ROUND(T253*AD$5/1200,2)</f>
        <v>0.0</v>
      </c>
      <c r="AE254" s="31">
        <f>ROUND(U253*AE$5/1200,2)</f>
        <v>0.0</v>
      </c>
      <c r="AF254" s="31">
        <f>ROUND(V253*AF$5/1200,2)</f>
        <v>0.0</v>
      </c>
      <c r="AG254" s="31">
        <f>ROUND(W253*AG$5/1200,2)</f>
        <v>0.0</v>
      </c>
      <c r="AH254" s="31">
        <f>ROUND(X253*AH$5/1200,2)</f>
        <v>0.0</v>
      </c>
      <c r="AI254" s="31">
        <f>ROUND(Y253*AI$5/1200,2)</f>
        <v>0.0</v>
      </c>
      <c r="AJ254" s="31">
        <f>ROUND(Z253*AJ$5/1200,2)</f>
        <v>0.0</v>
      </c>
      <c r="AK254" s="31">
        <f>ROUND(AA253*AK$5/1200,2)</f>
        <v>0.0</v>
      </c>
      <c r="AL254" s="31">
        <f>MIN(AL$5,R253+AB254)</f>
        <v>0.0</v>
      </c>
      <c r="AM254" s="31">
        <f>MIN(AM$5,S253+AC254)</f>
        <v>0.0</v>
      </c>
      <c r="AN254" s="31">
        <f>MIN(AN$5,T253+AD254)</f>
        <v>0.0</v>
      </c>
      <c r="AO254" s="31">
        <f>MIN(AO$5,U253+AE254)</f>
        <v>0.0</v>
      </c>
      <c r="AP254" s="31">
        <f>MIN(AP$5,V253+AF254)</f>
        <v>0.0</v>
      </c>
      <c r="AQ254" s="31">
        <f>MIN(AQ$5,W253+AG254)</f>
        <v>0.0</v>
      </c>
      <c r="AR254" s="31">
        <f>MIN(AR$5,X253+AH254)</f>
        <v>0.0</v>
      </c>
      <c r="AS254" s="31">
        <f>MIN(AS$5,Y253+AI254)</f>
        <v>0.0</v>
      </c>
      <c r="AT254" s="31">
        <f>MIN(AT$5,Z253+AJ254)</f>
        <v>0.0</v>
      </c>
      <c r="AU254" s="31">
        <f>MIN(AU$5,AA253+AK254)</f>
        <v>0.0</v>
      </c>
    </row>
    <row r="255">
      <c r="A255" s="25" t="str">
        <f>IF(F254&gt;0.005,250,"")</f>
        <v/>
      </c>
      <c r="B255" s="33" t="str">
        <f>IF(A255="","",EDATE(Долги!$D$5,249))</f>
        <v/>
      </c>
      <c r="C255" s="31">
        <f>SUM(H255:Q255)</f>
        <v>0.0</v>
      </c>
      <c r="D255" s="31">
        <f>SUM(AB255:AK255)</f>
        <v>0.0</v>
      </c>
      <c r="E255" s="31">
        <f>C255-D255</f>
        <v>0.0</v>
      </c>
      <c r="F255" s="31">
        <f>SUM(R255:AA255)</f>
        <v>0.0</v>
      </c>
      <c r="G255" s="34" t="str">
        <f>IF(OR(A255="",$F$5&lt;=0),"",REPT("█",ROUND(20*F255/$F$5,0)))</f>
        <v/>
      </c>
      <c r="H255" s="31">
        <f>AL255+MIN(R254+AB255-AL255,MAX(0,ROUND(Долги!$D$19-SUM($AL255:$AU255),2)))</f>
        <v>0.0</v>
      </c>
      <c r="I255" s="31">
        <f>AM255+MIN(S254+AC255-AM255,MAX(0,ROUND(ROUND(Долги!$D$19-SUM($AL255:$AU255),2)-(SUM($H255:H255)-SUM($AL255:AL255)),2)))</f>
        <v>0.0</v>
      </c>
      <c r="J255" s="31">
        <f>AN255+MIN(T254+AD255-AN255,MAX(0,ROUND(ROUND(Долги!$D$19-SUM($AL255:$AU255),2)-(SUM($H255:I255)-SUM($AL255:AM255)),2)))</f>
        <v>0.0</v>
      </c>
      <c r="K255" s="31">
        <f>AO255+MIN(U254+AE255-AO255,MAX(0,ROUND(ROUND(Долги!$D$19-SUM($AL255:$AU255),2)-(SUM($H255:J255)-SUM($AL255:AN255)),2)))</f>
        <v>0.0</v>
      </c>
      <c r="L255" s="31">
        <f>AP255+MIN(V254+AF255-AP255,MAX(0,ROUND(ROUND(Долги!$D$19-SUM($AL255:$AU255),2)-(SUM($H255:K255)-SUM($AL255:AO255)),2)))</f>
        <v>0.0</v>
      </c>
      <c r="M255" s="31">
        <f>AQ255+MIN(W254+AG255-AQ255,MAX(0,ROUND(ROUND(Долги!$D$19-SUM($AL255:$AU255),2)-(SUM($H255:L255)-SUM($AL255:AP255)),2)))</f>
        <v>0.0</v>
      </c>
      <c r="N255" s="31">
        <f>AR255+MIN(X254+AH255-AR255,MAX(0,ROUND(ROUND(Долги!$D$19-SUM($AL255:$AU255),2)-(SUM($H255:M255)-SUM($AL255:AQ255)),2)))</f>
        <v>0.0</v>
      </c>
      <c r="O255" s="31">
        <f>AS255+MIN(Y254+AI255-AS255,MAX(0,ROUND(ROUND(Долги!$D$19-SUM($AL255:$AU255),2)-(SUM($H255:N255)-SUM($AL255:AR255)),2)))</f>
        <v>0.0</v>
      </c>
      <c r="P255" s="31">
        <f>AT255+MIN(Z254+AJ255-AT255,MAX(0,ROUND(ROUND(Долги!$D$19-SUM($AL255:$AU255),2)-(SUM($H255:O255)-SUM($AL255:AS255)),2)))</f>
        <v>0.0</v>
      </c>
      <c r="Q255" s="31">
        <f>AU255+MIN(AA254+AK255-AU255,MAX(0,ROUND(ROUND(Долги!$D$19-SUM($AL255:$AU255),2)-(SUM($H255:P255)-SUM($AL255:AT255)),2)))</f>
        <v>0.0</v>
      </c>
      <c r="R255" s="31">
        <f>IF(R254+AB255-H255&lt;=0.01,0,ROUND(R254+AB255-H255,2))</f>
        <v>0.0</v>
      </c>
      <c r="S255" s="31">
        <f>IF(S254+AC255-I255&lt;=0.01,0,ROUND(S254+AC255-I255,2))</f>
        <v>0.0</v>
      </c>
      <c r="T255" s="31">
        <f>IF(T254+AD255-J255&lt;=0.01,0,ROUND(T254+AD255-J255,2))</f>
        <v>0.0</v>
      </c>
      <c r="U255" s="31">
        <f>IF(U254+AE255-K255&lt;=0.01,0,ROUND(U254+AE255-K255,2))</f>
        <v>0.0</v>
      </c>
      <c r="V255" s="31">
        <f>IF(V254+AF255-L255&lt;=0.01,0,ROUND(V254+AF255-L255,2))</f>
        <v>0.0</v>
      </c>
      <c r="W255" s="31">
        <f>IF(W254+AG255-M255&lt;=0.01,0,ROUND(W254+AG255-M255,2))</f>
        <v>0.0</v>
      </c>
      <c r="X255" s="31">
        <f>IF(X254+AH255-N255&lt;=0.01,0,ROUND(X254+AH255-N255,2))</f>
        <v>0.0</v>
      </c>
      <c r="Y255" s="31">
        <f>IF(Y254+AI255-O255&lt;=0.01,0,ROUND(Y254+AI255-O255,2))</f>
        <v>0.0</v>
      </c>
      <c r="Z255" s="31">
        <f>IF(Z254+AJ255-P255&lt;=0.01,0,ROUND(Z254+AJ255-P255,2))</f>
        <v>0.0</v>
      </c>
      <c r="AA255" s="31">
        <f>IF(AA254+AK255-Q255&lt;=0.01,0,ROUND(AA254+AK255-Q255,2))</f>
        <v>0.0</v>
      </c>
      <c r="AB255" s="31">
        <f>ROUND(R254*AB$5/1200,2)</f>
        <v>0.0</v>
      </c>
      <c r="AC255" s="31">
        <f>ROUND(S254*AC$5/1200,2)</f>
        <v>0.0</v>
      </c>
      <c r="AD255" s="31">
        <f>ROUND(T254*AD$5/1200,2)</f>
        <v>0.0</v>
      </c>
      <c r="AE255" s="31">
        <f>ROUND(U254*AE$5/1200,2)</f>
        <v>0.0</v>
      </c>
      <c r="AF255" s="31">
        <f>ROUND(V254*AF$5/1200,2)</f>
        <v>0.0</v>
      </c>
      <c r="AG255" s="31">
        <f>ROUND(W254*AG$5/1200,2)</f>
        <v>0.0</v>
      </c>
      <c r="AH255" s="31">
        <f>ROUND(X254*AH$5/1200,2)</f>
        <v>0.0</v>
      </c>
      <c r="AI255" s="31">
        <f>ROUND(Y254*AI$5/1200,2)</f>
        <v>0.0</v>
      </c>
      <c r="AJ255" s="31">
        <f>ROUND(Z254*AJ$5/1200,2)</f>
        <v>0.0</v>
      </c>
      <c r="AK255" s="31">
        <f>ROUND(AA254*AK$5/1200,2)</f>
        <v>0.0</v>
      </c>
      <c r="AL255" s="31">
        <f>MIN(AL$5,R254+AB255)</f>
        <v>0.0</v>
      </c>
      <c r="AM255" s="31">
        <f>MIN(AM$5,S254+AC255)</f>
        <v>0.0</v>
      </c>
      <c r="AN255" s="31">
        <f>MIN(AN$5,T254+AD255)</f>
        <v>0.0</v>
      </c>
      <c r="AO255" s="31">
        <f>MIN(AO$5,U254+AE255)</f>
        <v>0.0</v>
      </c>
      <c r="AP255" s="31">
        <f>MIN(AP$5,V254+AF255)</f>
        <v>0.0</v>
      </c>
      <c r="AQ255" s="31">
        <f>MIN(AQ$5,W254+AG255)</f>
        <v>0.0</v>
      </c>
      <c r="AR255" s="31">
        <f>MIN(AR$5,X254+AH255)</f>
        <v>0.0</v>
      </c>
      <c r="AS255" s="31">
        <f>MIN(AS$5,Y254+AI255)</f>
        <v>0.0</v>
      </c>
      <c r="AT255" s="31">
        <f>MIN(AT$5,Z254+AJ255)</f>
        <v>0.0</v>
      </c>
      <c r="AU255" s="31">
        <f>MIN(AU$5,AA254+AK255)</f>
        <v>0.0</v>
      </c>
    </row>
    <row r="256">
      <c r="A256" s="25" t="str">
        <f>IF(F255&gt;0.005,251,"")</f>
        <v/>
      </c>
      <c r="B256" s="33" t="str">
        <f>IF(A256="","",EDATE(Долги!$D$5,250))</f>
        <v/>
      </c>
      <c r="C256" s="31">
        <f>SUM(H256:Q256)</f>
        <v>0.0</v>
      </c>
      <c r="D256" s="31">
        <f>SUM(AB256:AK256)</f>
        <v>0.0</v>
      </c>
      <c r="E256" s="31">
        <f>C256-D256</f>
        <v>0.0</v>
      </c>
      <c r="F256" s="31">
        <f>SUM(R256:AA256)</f>
        <v>0.0</v>
      </c>
      <c r="G256" s="34" t="str">
        <f>IF(OR(A256="",$F$5&lt;=0),"",REPT("█",ROUND(20*F256/$F$5,0)))</f>
        <v/>
      </c>
      <c r="H256" s="31">
        <f>AL256+MIN(R255+AB256-AL256,MAX(0,ROUND(Долги!$D$19-SUM($AL256:$AU256),2)))</f>
        <v>0.0</v>
      </c>
      <c r="I256" s="31">
        <f>AM256+MIN(S255+AC256-AM256,MAX(0,ROUND(ROUND(Долги!$D$19-SUM($AL256:$AU256),2)-(SUM($H256:H256)-SUM($AL256:AL256)),2)))</f>
        <v>0.0</v>
      </c>
      <c r="J256" s="31">
        <f>AN256+MIN(T255+AD256-AN256,MAX(0,ROUND(ROUND(Долги!$D$19-SUM($AL256:$AU256),2)-(SUM($H256:I256)-SUM($AL256:AM256)),2)))</f>
        <v>0.0</v>
      </c>
      <c r="K256" s="31">
        <f>AO256+MIN(U255+AE256-AO256,MAX(0,ROUND(ROUND(Долги!$D$19-SUM($AL256:$AU256),2)-(SUM($H256:J256)-SUM($AL256:AN256)),2)))</f>
        <v>0.0</v>
      </c>
      <c r="L256" s="31">
        <f>AP256+MIN(V255+AF256-AP256,MAX(0,ROUND(ROUND(Долги!$D$19-SUM($AL256:$AU256),2)-(SUM($H256:K256)-SUM($AL256:AO256)),2)))</f>
        <v>0.0</v>
      </c>
      <c r="M256" s="31">
        <f>AQ256+MIN(W255+AG256-AQ256,MAX(0,ROUND(ROUND(Долги!$D$19-SUM($AL256:$AU256),2)-(SUM($H256:L256)-SUM($AL256:AP256)),2)))</f>
        <v>0.0</v>
      </c>
      <c r="N256" s="31">
        <f>AR256+MIN(X255+AH256-AR256,MAX(0,ROUND(ROUND(Долги!$D$19-SUM($AL256:$AU256),2)-(SUM($H256:M256)-SUM($AL256:AQ256)),2)))</f>
        <v>0.0</v>
      </c>
      <c r="O256" s="31">
        <f>AS256+MIN(Y255+AI256-AS256,MAX(0,ROUND(ROUND(Долги!$D$19-SUM($AL256:$AU256),2)-(SUM($H256:N256)-SUM($AL256:AR256)),2)))</f>
        <v>0.0</v>
      </c>
      <c r="P256" s="31">
        <f>AT256+MIN(Z255+AJ256-AT256,MAX(0,ROUND(ROUND(Долги!$D$19-SUM($AL256:$AU256),2)-(SUM($H256:O256)-SUM($AL256:AS256)),2)))</f>
        <v>0.0</v>
      </c>
      <c r="Q256" s="31">
        <f>AU256+MIN(AA255+AK256-AU256,MAX(0,ROUND(ROUND(Долги!$D$19-SUM($AL256:$AU256),2)-(SUM($H256:P256)-SUM($AL256:AT256)),2)))</f>
        <v>0.0</v>
      </c>
      <c r="R256" s="31">
        <f>IF(R255+AB256-H256&lt;=0.01,0,ROUND(R255+AB256-H256,2))</f>
        <v>0.0</v>
      </c>
      <c r="S256" s="31">
        <f>IF(S255+AC256-I256&lt;=0.01,0,ROUND(S255+AC256-I256,2))</f>
        <v>0.0</v>
      </c>
      <c r="T256" s="31">
        <f>IF(T255+AD256-J256&lt;=0.01,0,ROUND(T255+AD256-J256,2))</f>
        <v>0.0</v>
      </c>
      <c r="U256" s="31">
        <f>IF(U255+AE256-K256&lt;=0.01,0,ROUND(U255+AE256-K256,2))</f>
        <v>0.0</v>
      </c>
      <c r="V256" s="31">
        <f>IF(V255+AF256-L256&lt;=0.01,0,ROUND(V255+AF256-L256,2))</f>
        <v>0.0</v>
      </c>
      <c r="W256" s="31">
        <f>IF(W255+AG256-M256&lt;=0.01,0,ROUND(W255+AG256-M256,2))</f>
        <v>0.0</v>
      </c>
      <c r="X256" s="31">
        <f>IF(X255+AH256-N256&lt;=0.01,0,ROUND(X255+AH256-N256,2))</f>
        <v>0.0</v>
      </c>
      <c r="Y256" s="31">
        <f>IF(Y255+AI256-O256&lt;=0.01,0,ROUND(Y255+AI256-O256,2))</f>
        <v>0.0</v>
      </c>
      <c r="Z256" s="31">
        <f>IF(Z255+AJ256-P256&lt;=0.01,0,ROUND(Z255+AJ256-P256,2))</f>
        <v>0.0</v>
      </c>
      <c r="AA256" s="31">
        <f>IF(AA255+AK256-Q256&lt;=0.01,0,ROUND(AA255+AK256-Q256,2))</f>
        <v>0.0</v>
      </c>
      <c r="AB256" s="31">
        <f>ROUND(R255*AB$5/1200,2)</f>
        <v>0.0</v>
      </c>
      <c r="AC256" s="31">
        <f>ROUND(S255*AC$5/1200,2)</f>
        <v>0.0</v>
      </c>
      <c r="AD256" s="31">
        <f>ROUND(T255*AD$5/1200,2)</f>
        <v>0.0</v>
      </c>
      <c r="AE256" s="31">
        <f>ROUND(U255*AE$5/1200,2)</f>
        <v>0.0</v>
      </c>
      <c r="AF256" s="31">
        <f>ROUND(V255*AF$5/1200,2)</f>
        <v>0.0</v>
      </c>
      <c r="AG256" s="31">
        <f>ROUND(W255*AG$5/1200,2)</f>
        <v>0.0</v>
      </c>
      <c r="AH256" s="31">
        <f>ROUND(X255*AH$5/1200,2)</f>
        <v>0.0</v>
      </c>
      <c r="AI256" s="31">
        <f>ROUND(Y255*AI$5/1200,2)</f>
        <v>0.0</v>
      </c>
      <c r="AJ256" s="31">
        <f>ROUND(Z255*AJ$5/1200,2)</f>
        <v>0.0</v>
      </c>
      <c r="AK256" s="31">
        <f>ROUND(AA255*AK$5/1200,2)</f>
        <v>0.0</v>
      </c>
      <c r="AL256" s="31">
        <f>MIN(AL$5,R255+AB256)</f>
        <v>0.0</v>
      </c>
      <c r="AM256" s="31">
        <f>MIN(AM$5,S255+AC256)</f>
        <v>0.0</v>
      </c>
      <c r="AN256" s="31">
        <f>MIN(AN$5,T255+AD256)</f>
        <v>0.0</v>
      </c>
      <c r="AO256" s="31">
        <f>MIN(AO$5,U255+AE256)</f>
        <v>0.0</v>
      </c>
      <c r="AP256" s="31">
        <f>MIN(AP$5,V255+AF256)</f>
        <v>0.0</v>
      </c>
      <c r="AQ256" s="31">
        <f>MIN(AQ$5,W255+AG256)</f>
        <v>0.0</v>
      </c>
      <c r="AR256" s="31">
        <f>MIN(AR$5,X255+AH256)</f>
        <v>0.0</v>
      </c>
      <c r="AS256" s="31">
        <f>MIN(AS$5,Y255+AI256)</f>
        <v>0.0</v>
      </c>
      <c r="AT256" s="31">
        <f>MIN(AT$5,Z255+AJ256)</f>
        <v>0.0</v>
      </c>
      <c r="AU256" s="31">
        <f>MIN(AU$5,AA255+AK256)</f>
        <v>0.0</v>
      </c>
    </row>
    <row r="257">
      <c r="A257" s="25" t="str">
        <f>IF(F256&gt;0.005,252,"")</f>
        <v/>
      </c>
      <c r="B257" s="33" t="str">
        <f>IF(A257="","",EDATE(Долги!$D$5,251))</f>
        <v/>
      </c>
      <c r="C257" s="31">
        <f>SUM(H257:Q257)</f>
        <v>0.0</v>
      </c>
      <c r="D257" s="31">
        <f>SUM(AB257:AK257)</f>
        <v>0.0</v>
      </c>
      <c r="E257" s="31">
        <f>C257-D257</f>
        <v>0.0</v>
      </c>
      <c r="F257" s="31">
        <f>SUM(R257:AA257)</f>
        <v>0.0</v>
      </c>
      <c r="G257" s="34" t="str">
        <f>IF(OR(A257="",$F$5&lt;=0),"",REPT("█",ROUND(20*F257/$F$5,0)))</f>
        <v/>
      </c>
      <c r="H257" s="31">
        <f>AL257+MIN(R256+AB257-AL257,MAX(0,ROUND(Долги!$D$19-SUM($AL257:$AU257),2)))</f>
        <v>0.0</v>
      </c>
      <c r="I257" s="31">
        <f>AM257+MIN(S256+AC257-AM257,MAX(0,ROUND(ROUND(Долги!$D$19-SUM($AL257:$AU257),2)-(SUM($H257:H257)-SUM($AL257:AL257)),2)))</f>
        <v>0.0</v>
      </c>
      <c r="J257" s="31">
        <f>AN257+MIN(T256+AD257-AN257,MAX(0,ROUND(ROUND(Долги!$D$19-SUM($AL257:$AU257),2)-(SUM($H257:I257)-SUM($AL257:AM257)),2)))</f>
        <v>0.0</v>
      </c>
      <c r="K257" s="31">
        <f>AO257+MIN(U256+AE257-AO257,MAX(0,ROUND(ROUND(Долги!$D$19-SUM($AL257:$AU257),2)-(SUM($H257:J257)-SUM($AL257:AN257)),2)))</f>
        <v>0.0</v>
      </c>
      <c r="L257" s="31">
        <f>AP257+MIN(V256+AF257-AP257,MAX(0,ROUND(ROUND(Долги!$D$19-SUM($AL257:$AU257),2)-(SUM($H257:K257)-SUM($AL257:AO257)),2)))</f>
        <v>0.0</v>
      </c>
      <c r="M257" s="31">
        <f>AQ257+MIN(W256+AG257-AQ257,MAX(0,ROUND(ROUND(Долги!$D$19-SUM($AL257:$AU257),2)-(SUM($H257:L257)-SUM($AL257:AP257)),2)))</f>
        <v>0.0</v>
      </c>
      <c r="N257" s="31">
        <f>AR257+MIN(X256+AH257-AR257,MAX(0,ROUND(ROUND(Долги!$D$19-SUM($AL257:$AU257),2)-(SUM($H257:M257)-SUM($AL257:AQ257)),2)))</f>
        <v>0.0</v>
      </c>
      <c r="O257" s="31">
        <f>AS257+MIN(Y256+AI257-AS257,MAX(0,ROUND(ROUND(Долги!$D$19-SUM($AL257:$AU257),2)-(SUM($H257:N257)-SUM($AL257:AR257)),2)))</f>
        <v>0.0</v>
      </c>
      <c r="P257" s="31">
        <f>AT257+MIN(Z256+AJ257-AT257,MAX(0,ROUND(ROUND(Долги!$D$19-SUM($AL257:$AU257),2)-(SUM($H257:O257)-SUM($AL257:AS257)),2)))</f>
        <v>0.0</v>
      </c>
      <c r="Q257" s="31">
        <f>AU257+MIN(AA256+AK257-AU257,MAX(0,ROUND(ROUND(Долги!$D$19-SUM($AL257:$AU257),2)-(SUM($H257:P257)-SUM($AL257:AT257)),2)))</f>
        <v>0.0</v>
      </c>
      <c r="R257" s="31">
        <f>IF(R256+AB257-H257&lt;=0.01,0,ROUND(R256+AB257-H257,2))</f>
        <v>0.0</v>
      </c>
      <c r="S257" s="31">
        <f>IF(S256+AC257-I257&lt;=0.01,0,ROUND(S256+AC257-I257,2))</f>
        <v>0.0</v>
      </c>
      <c r="T257" s="31">
        <f>IF(T256+AD257-J257&lt;=0.01,0,ROUND(T256+AD257-J257,2))</f>
        <v>0.0</v>
      </c>
      <c r="U257" s="31">
        <f>IF(U256+AE257-K257&lt;=0.01,0,ROUND(U256+AE257-K257,2))</f>
        <v>0.0</v>
      </c>
      <c r="V257" s="31">
        <f>IF(V256+AF257-L257&lt;=0.01,0,ROUND(V256+AF257-L257,2))</f>
        <v>0.0</v>
      </c>
      <c r="W257" s="31">
        <f>IF(W256+AG257-M257&lt;=0.01,0,ROUND(W256+AG257-M257,2))</f>
        <v>0.0</v>
      </c>
      <c r="X257" s="31">
        <f>IF(X256+AH257-N257&lt;=0.01,0,ROUND(X256+AH257-N257,2))</f>
        <v>0.0</v>
      </c>
      <c r="Y257" s="31">
        <f>IF(Y256+AI257-O257&lt;=0.01,0,ROUND(Y256+AI257-O257,2))</f>
        <v>0.0</v>
      </c>
      <c r="Z257" s="31">
        <f>IF(Z256+AJ257-P257&lt;=0.01,0,ROUND(Z256+AJ257-P257,2))</f>
        <v>0.0</v>
      </c>
      <c r="AA257" s="31">
        <f>IF(AA256+AK257-Q257&lt;=0.01,0,ROUND(AA256+AK257-Q257,2))</f>
        <v>0.0</v>
      </c>
      <c r="AB257" s="31">
        <f>ROUND(R256*AB$5/1200,2)</f>
        <v>0.0</v>
      </c>
      <c r="AC257" s="31">
        <f>ROUND(S256*AC$5/1200,2)</f>
        <v>0.0</v>
      </c>
      <c r="AD257" s="31">
        <f>ROUND(T256*AD$5/1200,2)</f>
        <v>0.0</v>
      </c>
      <c r="AE257" s="31">
        <f>ROUND(U256*AE$5/1200,2)</f>
        <v>0.0</v>
      </c>
      <c r="AF257" s="31">
        <f>ROUND(V256*AF$5/1200,2)</f>
        <v>0.0</v>
      </c>
      <c r="AG257" s="31">
        <f>ROUND(W256*AG$5/1200,2)</f>
        <v>0.0</v>
      </c>
      <c r="AH257" s="31">
        <f>ROUND(X256*AH$5/1200,2)</f>
        <v>0.0</v>
      </c>
      <c r="AI257" s="31">
        <f>ROUND(Y256*AI$5/1200,2)</f>
        <v>0.0</v>
      </c>
      <c r="AJ257" s="31">
        <f>ROUND(Z256*AJ$5/1200,2)</f>
        <v>0.0</v>
      </c>
      <c r="AK257" s="31">
        <f>ROUND(AA256*AK$5/1200,2)</f>
        <v>0.0</v>
      </c>
      <c r="AL257" s="31">
        <f>MIN(AL$5,R256+AB257)</f>
        <v>0.0</v>
      </c>
      <c r="AM257" s="31">
        <f>MIN(AM$5,S256+AC257)</f>
        <v>0.0</v>
      </c>
      <c r="AN257" s="31">
        <f>MIN(AN$5,T256+AD257)</f>
        <v>0.0</v>
      </c>
      <c r="AO257" s="31">
        <f>MIN(AO$5,U256+AE257)</f>
        <v>0.0</v>
      </c>
      <c r="AP257" s="31">
        <f>MIN(AP$5,V256+AF257)</f>
        <v>0.0</v>
      </c>
      <c r="AQ257" s="31">
        <f>MIN(AQ$5,W256+AG257)</f>
        <v>0.0</v>
      </c>
      <c r="AR257" s="31">
        <f>MIN(AR$5,X256+AH257)</f>
        <v>0.0</v>
      </c>
      <c r="AS257" s="31">
        <f>MIN(AS$5,Y256+AI257)</f>
        <v>0.0</v>
      </c>
      <c r="AT257" s="31">
        <f>MIN(AT$5,Z256+AJ257)</f>
        <v>0.0</v>
      </c>
      <c r="AU257" s="31">
        <f>MIN(AU$5,AA256+AK257)</f>
        <v>0.0</v>
      </c>
    </row>
    <row r="258">
      <c r="A258" s="25" t="str">
        <f>IF(F257&gt;0.005,253,"")</f>
        <v/>
      </c>
      <c r="B258" s="33" t="str">
        <f>IF(A258="","",EDATE(Долги!$D$5,252))</f>
        <v/>
      </c>
      <c r="C258" s="31">
        <f>SUM(H258:Q258)</f>
        <v>0.0</v>
      </c>
      <c r="D258" s="31">
        <f>SUM(AB258:AK258)</f>
        <v>0.0</v>
      </c>
      <c r="E258" s="31">
        <f>C258-D258</f>
        <v>0.0</v>
      </c>
      <c r="F258" s="31">
        <f>SUM(R258:AA258)</f>
        <v>0.0</v>
      </c>
      <c r="G258" s="34" t="str">
        <f>IF(OR(A258="",$F$5&lt;=0),"",REPT("█",ROUND(20*F258/$F$5,0)))</f>
        <v/>
      </c>
      <c r="H258" s="31">
        <f>AL258+MIN(R257+AB258-AL258,MAX(0,ROUND(Долги!$D$19-SUM($AL258:$AU258),2)))</f>
        <v>0.0</v>
      </c>
      <c r="I258" s="31">
        <f>AM258+MIN(S257+AC258-AM258,MAX(0,ROUND(ROUND(Долги!$D$19-SUM($AL258:$AU258),2)-(SUM($H258:H258)-SUM($AL258:AL258)),2)))</f>
        <v>0.0</v>
      </c>
      <c r="J258" s="31">
        <f>AN258+MIN(T257+AD258-AN258,MAX(0,ROUND(ROUND(Долги!$D$19-SUM($AL258:$AU258),2)-(SUM($H258:I258)-SUM($AL258:AM258)),2)))</f>
        <v>0.0</v>
      </c>
      <c r="K258" s="31">
        <f>AO258+MIN(U257+AE258-AO258,MAX(0,ROUND(ROUND(Долги!$D$19-SUM($AL258:$AU258),2)-(SUM($H258:J258)-SUM($AL258:AN258)),2)))</f>
        <v>0.0</v>
      </c>
      <c r="L258" s="31">
        <f>AP258+MIN(V257+AF258-AP258,MAX(0,ROUND(ROUND(Долги!$D$19-SUM($AL258:$AU258),2)-(SUM($H258:K258)-SUM($AL258:AO258)),2)))</f>
        <v>0.0</v>
      </c>
      <c r="M258" s="31">
        <f>AQ258+MIN(W257+AG258-AQ258,MAX(0,ROUND(ROUND(Долги!$D$19-SUM($AL258:$AU258),2)-(SUM($H258:L258)-SUM($AL258:AP258)),2)))</f>
        <v>0.0</v>
      </c>
      <c r="N258" s="31">
        <f>AR258+MIN(X257+AH258-AR258,MAX(0,ROUND(ROUND(Долги!$D$19-SUM($AL258:$AU258),2)-(SUM($H258:M258)-SUM($AL258:AQ258)),2)))</f>
        <v>0.0</v>
      </c>
      <c r="O258" s="31">
        <f>AS258+MIN(Y257+AI258-AS258,MAX(0,ROUND(ROUND(Долги!$D$19-SUM($AL258:$AU258),2)-(SUM($H258:N258)-SUM($AL258:AR258)),2)))</f>
        <v>0.0</v>
      </c>
      <c r="P258" s="31">
        <f>AT258+MIN(Z257+AJ258-AT258,MAX(0,ROUND(ROUND(Долги!$D$19-SUM($AL258:$AU258),2)-(SUM($H258:O258)-SUM($AL258:AS258)),2)))</f>
        <v>0.0</v>
      </c>
      <c r="Q258" s="31">
        <f>AU258+MIN(AA257+AK258-AU258,MAX(0,ROUND(ROUND(Долги!$D$19-SUM($AL258:$AU258),2)-(SUM($H258:P258)-SUM($AL258:AT258)),2)))</f>
        <v>0.0</v>
      </c>
      <c r="R258" s="31">
        <f>IF(R257+AB258-H258&lt;=0.01,0,ROUND(R257+AB258-H258,2))</f>
        <v>0.0</v>
      </c>
      <c r="S258" s="31">
        <f>IF(S257+AC258-I258&lt;=0.01,0,ROUND(S257+AC258-I258,2))</f>
        <v>0.0</v>
      </c>
      <c r="T258" s="31">
        <f>IF(T257+AD258-J258&lt;=0.01,0,ROUND(T257+AD258-J258,2))</f>
        <v>0.0</v>
      </c>
      <c r="U258" s="31">
        <f>IF(U257+AE258-K258&lt;=0.01,0,ROUND(U257+AE258-K258,2))</f>
        <v>0.0</v>
      </c>
      <c r="V258" s="31">
        <f>IF(V257+AF258-L258&lt;=0.01,0,ROUND(V257+AF258-L258,2))</f>
        <v>0.0</v>
      </c>
      <c r="W258" s="31">
        <f>IF(W257+AG258-M258&lt;=0.01,0,ROUND(W257+AG258-M258,2))</f>
        <v>0.0</v>
      </c>
      <c r="X258" s="31">
        <f>IF(X257+AH258-N258&lt;=0.01,0,ROUND(X257+AH258-N258,2))</f>
        <v>0.0</v>
      </c>
      <c r="Y258" s="31">
        <f>IF(Y257+AI258-O258&lt;=0.01,0,ROUND(Y257+AI258-O258,2))</f>
        <v>0.0</v>
      </c>
      <c r="Z258" s="31">
        <f>IF(Z257+AJ258-P258&lt;=0.01,0,ROUND(Z257+AJ258-P258,2))</f>
        <v>0.0</v>
      </c>
      <c r="AA258" s="31">
        <f>IF(AA257+AK258-Q258&lt;=0.01,0,ROUND(AA257+AK258-Q258,2))</f>
        <v>0.0</v>
      </c>
      <c r="AB258" s="31">
        <f>ROUND(R257*AB$5/1200,2)</f>
        <v>0.0</v>
      </c>
      <c r="AC258" s="31">
        <f>ROUND(S257*AC$5/1200,2)</f>
        <v>0.0</v>
      </c>
      <c r="AD258" s="31">
        <f>ROUND(T257*AD$5/1200,2)</f>
        <v>0.0</v>
      </c>
      <c r="AE258" s="31">
        <f>ROUND(U257*AE$5/1200,2)</f>
        <v>0.0</v>
      </c>
      <c r="AF258" s="31">
        <f>ROUND(V257*AF$5/1200,2)</f>
        <v>0.0</v>
      </c>
      <c r="AG258" s="31">
        <f>ROUND(W257*AG$5/1200,2)</f>
        <v>0.0</v>
      </c>
      <c r="AH258" s="31">
        <f>ROUND(X257*AH$5/1200,2)</f>
        <v>0.0</v>
      </c>
      <c r="AI258" s="31">
        <f>ROUND(Y257*AI$5/1200,2)</f>
        <v>0.0</v>
      </c>
      <c r="AJ258" s="31">
        <f>ROUND(Z257*AJ$5/1200,2)</f>
        <v>0.0</v>
      </c>
      <c r="AK258" s="31">
        <f>ROUND(AA257*AK$5/1200,2)</f>
        <v>0.0</v>
      </c>
      <c r="AL258" s="31">
        <f>MIN(AL$5,R257+AB258)</f>
        <v>0.0</v>
      </c>
      <c r="AM258" s="31">
        <f>MIN(AM$5,S257+AC258)</f>
        <v>0.0</v>
      </c>
      <c r="AN258" s="31">
        <f>MIN(AN$5,T257+AD258)</f>
        <v>0.0</v>
      </c>
      <c r="AO258" s="31">
        <f>MIN(AO$5,U257+AE258)</f>
        <v>0.0</v>
      </c>
      <c r="AP258" s="31">
        <f>MIN(AP$5,V257+AF258)</f>
        <v>0.0</v>
      </c>
      <c r="AQ258" s="31">
        <f>MIN(AQ$5,W257+AG258)</f>
        <v>0.0</v>
      </c>
      <c r="AR258" s="31">
        <f>MIN(AR$5,X257+AH258)</f>
        <v>0.0</v>
      </c>
      <c r="AS258" s="31">
        <f>MIN(AS$5,Y257+AI258)</f>
        <v>0.0</v>
      </c>
      <c r="AT258" s="31">
        <f>MIN(AT$5,Z257+AJ258)</f>
        <v>0.0</v>
      </c>
      <c r="AU258" s="31">
        <f>MIN(AU$5,AA257+AK258)</f>
        <v>0.0</v>
      </c>
    </row>
    <row r="259">
      <c r="A259" s="25" t="str">
        <f>IF(F258&gt;0.005,254,"")</f>
        <v/>
      </c>
      <c r="B259" s="33" t="str">
        <f>IF(A259="","",EDATE(Долги!$D$5,253))</f>
        <v/>
      </c>
      <c r="C259" s="31">
        <f>SUM(H259:Q259)</f>
        <v>0.0</v>
      </c>
      <c r="D259" s="31">
        <f>SUM(AB259:AK259)</f>
        <v>0.0</v>
      </c>
      <c r="E259" s="31">
        <f>C259-D259</f>
        <v>0.0</v>
      </c>
      <c r="F259" s="31">
        <f>SUM(R259:AA259)</f>
        <v>0.0</v>
      </c>
      <c r="G259" s="34" t="str">
        <f>IF(OR(A259="",$F$5&lt;=0),"",REPT("█",ROUND(20*F259/$F$5,0)))</f>
        <v/>
      </c>
      <c r="H259" s="31">
        <f>AL259+MIN(R258+AB259-AL259,MAX(0,ROUND(Долги!$D$19-SUM($AL259:$AU259),2)))</f>
        <v>0.0</v>
      </c>
      <c r="I259" s="31">
        <f>AM259+MIN(S258+AC259-AM259,MAX(0,ROUND(ROUND(Долги!$D$19-SUM($AL259:$AU259),2)-(SUM($H259:H259)-SUM($AL259:AL259)),2)))</f>
        <v>0.0</v>
      </c>
      <c r="J259" s="31">
        <f>AN259+MIN(T258+AD259-AN259,MAX(0,ROUND(ROUND(Долги!$D$19-SUM($AL259:$AU259),2)-(SUM($H259:I259)-SUM($AL259:AM259)),2)))</f>
        <v>0.0</v>
      </c>
      <c r="K259" s="31">
        <f>AO259+MIN(U258+AE259-AO259,MAX(0,ROUND(ROUND(Долги!$D$19-SUM($AL259:$AU259),2)-(SUM($H259:J259)-SUM($AL259:AN259)),2)))</f>
        <v>0.0</v>
      </c>
      <c r="L259" s="31">
        <f>AP259+MIN(V258+AF259-AP259,MAX(0,ROUND(ROUND(Долги!$D$19-SUM($AL259:$AU259),2)-(SUM($H259:K259)-SUM($AL259:AO259)),2)))</f>
        <v>0.0</v>
      </c>
      <c r="M259" s="31">
        <f>AQ259+MIN(W258+AG259-AQ259,MAX(0,ROUND(ROUND(Долги!$D$19-SUM($AL259:$AU259),2)-(SUM($H259:L259)-SUM($AL259:AP259)),2)))</f>
        <v>0.0</v>
      </c>
      <c r="N259" s="31">
        <f>AR259+MIN(X258+AH259-AR259,MAX(0,ROUND(ROUND(Долги!$D$19-SUM($AL259:$AU259),2)-(SUM($H259:M259)-SUM($AL259:AQ259)),2)))</f>
        <v>0.0</v>
      </c>
      <c r="O259" s="31">
        <f>AS259+MIN(Y258+AI259-AS259,MAX(0,ROUND(ROUND(Долги!$D$19-SUM($AL259:$AU259),2)-(SUM($H259:N259)-SUM($AL259:AR259)),2)))</f>
        <v>0.0</v>
      </c>
      <c r="P259" s="31">
        <f>AT259+MIN(Z258+AJ259-AT259,MAX(0,ROUND(ROUND(Долги!$D$19-SUM($AL259:$AU259),2)-(SUM($H259:O259)-SUM($AL259:AS259)),2)))</f>
        <v>0.0</v>
      </c>
      <c r="Q259" s="31">
        <f>AU259+MIN(AA258+AK259-AU259,MAX(0,ROUND(ROUND(Долги!$D$19-SUM($AL259:$AU259),2)-(SUM($H259:P259)-SUM($AL259:AT259)),2)))</f>
        <v>0.0</v>
      </c>
      <c r="R259" s="31">
        <f>IF(R258+AB259-H259&lt;=0.01,0,ROUND(R258+AB259-H259,2))</f>
        <v>0.0</v>
      </c>
      <c r="S259" s="31">
        <f>IF(S258+AC259-I259&lt;=0.01,0,ROUND(S258+AC259-I259,2))</f>
        <v>0.0</v>
      </c>
      <c r="T259" s="31">
        <f>IF(T258+AD259-J259&lt;=0.01,0,ROUND(T258+AD259-J259,2))</f>
        <v>0.0</v>
      </c>
      <c r="U259" s="31">
        <f>IF(U258+AE259-K259&lt;=0.01,0,ROUND(U258+AE259-K259,2))</f>
        <v>0.0</v>
      </c>
      <c r="V259" s="31">
        <f>IF(V258+AF259-L259&lt;=0.01,0,ROUND(V258+AF259-L259,2))</f>
        <v>0.0</v>
      </c>
      <c r="W259" s="31">
        <f>IF(W258+AG259-M259&lt;=0.01,0,ROUND(W258+AG259-M259,2))</f>
        <v>0.0</v>
      </c>
      <c r="X259" s="31">
        <f>IF(X258+AH259-N259&lt;=0.01,0,ROUND(X258+AH259-N259,2))</f>
        <v>0.0</v>
      </c>
      <c r="Y259" s="31">
        <f>IF(Y258+AI259-O259&lt;=0.01,0,ROUND(Y258+AI259-O259,2))</f>
        <v>0.0</v>
      </c>
      <c r="Z259" s="31">
        <f>IF(Z258+AJ259-P259&lt;=0.01,0,ROUND(Z258+AJ259-P259,2))</f>
        <v>0.0</v>
      </c>
      <c r="AA259" s="31">
        <f>IF(AA258+AK259-Q259&lt;=0.01,0,ROUND(AA258+AK259-Q259,2))</f>
        <v>0.0</v>
      </c>
      <c r="AB259" s="31">
        <f>ROUND(R258*AB$5/1200,2)</f>
        <v>0.0</v>
      </c>
      <c r="AC259" s="31">
        <f>ROUND(S258*AC$5/1200,2)</f>
        <v>0.0</v>
      </c>
      <c r="AD259" s="31">
        <f>ROUND(T258*AD$5/1200,2)</f>
        <v>0.0</v>
      </c>
      <c r="AE259" s="31">
        <f>ROUND(U258*AE$5/1200,2)</f>
        <v>0.0</v>
      </c>
      <c r="AF259" s="31">
        <f>ROUND(V258*AF$5/1200,2)</f>
        <v>0.0</v>
      </c>
      <c r="AG259" s="31">
        <f>ROUND(W258*AG$5/1200,2)</f>
        <v>0.0</v>
      </c>
      <c r="AH259" s="31">
        <f>ROUND(X258*AH$5/1200,2)</f>
        <v>0.0</v>
      </c>
      <c r="AI259" s="31">
        <f>ROUND(Y258*AI$5/1200,2)</f>
        <v>0.0</v>
      </c>
      <c r="AJ259" s="31">
        <f>ROUND(Z258*AJ$5/1200,2)</f>
        <v>0.0</v>
      </c>
      <c r="AK259" s="31">
        <f>ROUND(AA258*AK$5/1200,2)</f>
        <v>0.0</v>
      </c>
      <c r="AL259" s="31">
        <f>MIN(AL$5,R258+AB259)</f>
        <v>0.0</v>
      </c>
      <c r="AM259" s="31">
        <f>MIN(AM$5,S258+AC259)</f>
        <v>0.0</v>
      </c>
      <c r="AN259" s="31">
        <f>MIN(AN$5,T258+AD259)</f>
        <v>0.0</v>
      </c>
      <c r="AO259" s="31">
        <f>MIN(AO$5,U258+AE259)</f>
        <v>0.0</v>
      </c>
      <c r="AP259" s="31">
        <f>MIN(AP$5,V258+AF259)</f>
        <v>0.0</v>
      </c>
      <c r="AQ259" s="31">
        <f>MIN(AQ$5,W258+AG259)</f>
        <v>0.0</v>
      </c>
      <c r="AR259" s="31">
        <f>MIN(AR$5,X258+AH259)</f>
        <v>0.0</v>
      </c>
      <c r="AS259" s="31">
        <f>MIN(AS$5,Y258+AI259)</f>
        <v>0.0</v>
      </c>
      <c r="AT259" s="31">
        <f>MIN(AT$5,Z258+AJ259)</f>
        <v>0.0</v>
      </c>
      <c r="AU259" s="31">
        <f>MIN(AU$5,AA258+AK259)</f>
        <v>0.0</v>
      </c>
    </row>
    <row r="260">
      <c r="A260" s="25" t="str">
        <f>IF(F259&gt;0.005,255,"")</f>
        <v/>
      </c>
      <c r="B260" s="33" t="str">
        <f>IF(A260="","",EDATE(Долги!$D$5,254))</f>
        <v/>
      </c>
      <c r="C260" s="31">
        <f>SUM(H260:Q260)</f>
        <v>0.0</v>
      </c>
      <c r="D260" s="31">
        <f>SUM(AB260:AK260)</f>
        <v>0.0</v>
      </c>
      <c r="E260" s="31">
        <f>C260-D260</f>
        <v>0.0</v>
      </c>
      <c r="F260" s="31">
        <f>SUM(R260:AA260)</f>
        <v>0.0</v>
      </c>
      <c r="G260" s="34" t="str">
        <f>IF(OR(A260="",$F$5&lt;=0),"",REPT("█",ROUND(20*F260/$F$5,0)))</f>
        <v/>
      </c>
      <c r="H260" s="31">
        <f>AL260+MIN(R259+AB260-AL260,MAX(0,ROUND(Долги!$D$19-SUM($AL260:$AU260),2)))</f>
        <v>0.0</v>
      </c>
      <c r="I260" s="31">
        <f>AM260+MIN(S259+AC260-AM260,MAX(0,ROUND(ROUND(Долги!$D$19-SUM($AL260:$AU260),2)-(SUM($H260:H260)-SUM($AL260:AL260)),2)))</f>
        <v>0.0</v>
      </c>
      <c r="J260" s="31">
        <f>AN260+MIN(T259+AD260-AN260,MAX(0,ROUND(ROUND(Долги!$D$19-SUM($AL260:$AU260),2)-(SUM($H260:I260)-SUM($AL260:AM260)),2)))</f>
        <v>0.0</v>
      </c>
      <c r="K260" s="31">
        <f>AO260+MIN(U259+AE260-AO260,MAX(0,ROUND(ROUND(Долги!$D$19-SUM($AL260:$AU260),2)-(SUM($H260:J260)-SUM($AL260:AN260)),2)))</f>
        <v>0.0</v>
      </c>
      <c r="L260" s="31">
        <f>AP260+MIN(V259+AF260-AP260,MAX(0,ROUND(ROUND(Долги!$D$19-SUM($AL260:$AU260),2)-(SUM($H260:K260)-SUM($AL260:AO260)),2)))</f>
        <v>0.0</v>
      </c>
      <c r="M260" s="31">
        <f>AQ260+MIN(W259+AG260-AQ260,MAX(0,ROUND(ROUND(Долги!$D$19-SUM($AL260:$AU260),2)-(SUM($H260:L260)-SUM($AL260:AP260)),2)))</f>
        <v>0.0</v>
      </c>
      <c r="N260" s="31">
        <f>AR260+MIN(X259+AH260-AR260,MAX(0,ROUND(ROUND(Долги!$D$19-SUM($AL260:$AU260),2)-(SUM($H260:M260)-SUM($AL260:AQ260)),2)))</f>
        <v>0.0</v>
      </c>
      <c r="O260" s="31">
        <f>AS260+MIN(Y259+AI260-AS260,MAX(0,ROUND(ROUND(Долги!$D$19-SUM($AL260:$AU260),2)-(SUM($H260:N260)-SUM($AL260:AR260)),2)))</f>
        <v>0.0</v>
      </c>
      <c r="P260" s="31">
        <f>AT260+MIN(Z259+AJ260-AT260,MAX(0,ROUND(ROUND(Долги!$D$19-SUM($AL260:$AU260),2)-(SUM($H260:O260)-SUM($AL260:AS260)),2)))</f>
        <v>0.0</v>
      </c>
      <c r="Q260" s="31">
        <f>AU260+MIN(AA259+AK260-AU260,MAX(0,ROUND(ROUND(Долги!$D$19-SUM($AL260:$AU260),2)-(SUM($H260:P260)-SUM($AL260:AT260)),2)))</f>
        <v>0.0</v>
      </c>
      <c r="R260" s="31">
        <f>IF(R259+AB260-H260&lt;=0.01,0,ROUND(R259+AB260-H260,2))</f>
        <v>0.0</v>
      </c>
      <c r="S260" s="31">
        <f>IF(S259+AC260-I260&lt;=0.01,0,ROUND(S259+AC260-I260,2))</f>
        <v>0.0</v>
      </c>
      <c r="T260" s="31">
        <f>IF(T259+AD260-J260&lt;=0.01,0,ROUND(T259+AD260-J260,2))</f>
        <v>0.0</v>
      </c>
      <c r="U260" s="31">
        <f>IF(U259+AE260-K260&lt;=0.01,0,ROUND(U259+AE260-K260,2))</f>
        <v>0.0</v>
      </c>
      <c r="V260" s="31">
        <f>IF(V259+AF260-L260&lt;=0.01,0,ROUND(V259+AF260-L260,2))</f>
        <v>0.0</v>
      </c>
      <c r="W260" s="31">
        <f>IF(W259+AG260-M260&lt;=0.01,0,ROUND(W259+AG260-M260,2))</f>
        <v>0.0</v>
      </c>
      <c r="X260" s="31">
        <f>IF(X259+AH260-N260&lt;=0.01,0,ROUND(X259+AH260-N260,2))</f>
        <v>0.0</v>
      </c>
      <c r="Y260" s="31">
        <f>IF(Y259+AI260-O260&lt;=0.01,0,ROUND(Y259+AI260-O260,2))</f>
        <v>0.0</v>
      </c>
      <c r="Z260" s="31">
        <f>IF(Z259+AJ260-P260&lt;=0.01,0,ROUND(Z259+AJ260-P260,2))</f>
        <v>0.0</v>
      </c>
      <c r="AA260" s="31">
        <f>IF(AA259+AK260-Q260&lt;=0.01,0,ROUND(AA259+AK260-Q260,2))</f>
        <v>0.0</v>
      </c>
      <c r="AB260" s="31">
        <f>ROUND(R259*AB$5/1200,2)</f>
        <v>0.0</v>
      </c>
      <c r="AC260" s="31">
        <f>ROUND(S259*AC$5/1200,2)</f>
        <v>0.0</v>
      </c>
      <c r="AD260" s="31">
        <f>ROUND(T259*AD$5/1200,2)</f>
        <v>0.0</v>
      </c>
      <c r="AE260" s="31">
        <f>ROUND(U259*AE$5/1200,2)</f>
        <v>0.0</v>
      </c>
      <c r="AF260" s="31">
        <f>ROUND(V259*AF$5/1200,2)</f>
        <v>0.0</v>
      </c>
      <c r="AG260" s="31">
        <f>ROUND(W259*AG$5/1200,2)</f>
        <v>0.0</v>
      </c>
      <c r="AH260" s="31">
        <f>ROUND(X259*AH$5/1200,2)</f>
        <v>0.0</v>
      </c>
      <c r="AI260" s="31">
        <f>ROUND(Y259*AI$5/1200,2)</f>
        <v>0.0</v>
      </c>
      <c r="AJ260" s="31">
        <f>ROUND(Z259*AJ$5/1200,2)</f>
        <v>0.0</v>
      </c>
      <c r="AK260" s="31">
        <f>ROUND(AA259*AK$5/1200,2)</f>
        <v>0.0</v>
      </c>
      <c r="AL260" s="31">
        <f>MIN(AL$5,R259+AB260)</f>
        <v>0.0</v>
      </c>
      <c r="AM260" s="31">
        <f>MIN(AM$5,S259+AC260)</f>
        <v>0.0</v>
      </c>
      <c r="AN260" s="31">
        <f>MIN(AN$5,T259+AD260)</f>
        <v>0.0</v>
      </c>
      <c r="AO260" s="31">
        <f>MIN(AO$5,U259+AE260)</f>
        <v>0.0</v>
      </c>
      <c r="AP260" s="31">
        <f>MIN(AP$5,V259+AF260)</f>
        <v>0.0</v>
      </c>
      <c r="AQ260" s="31">
        <f>MIN(AQ$5,W259+AG260)</f>
        <v>0.0</v>
      </c>
      <c r="AR260" s="31">
        <f>MIN(AR$5,X259+AH260)</f>
        <v>0.0</v>
      </c>
      <c r="AS260" s="31">
        <f>MIN(AS$5,Y259+AI260)</f>
        <v>0.0</v>
      </c>
      <c r="AT260" s="31">
        <f>MIN(AT$5,Z259+AJ260)</f>
        <v>0.0</v>
      </c>
      <c r="AU260" s="31">
        <f>MIN(AU$5,AA259+AK260)</f>
        <v>0.0</v>
      </c>
    </row>
    <row r="261">
      <c r="A261" s="25" t="str">
        <f>IF(F260&gt;0.005,256,"")</f>
        <v/>
      </c>
      <c r="B261" s="33" t="str">
        <f>IF(A261="","",EDATE(Долги!$D$5,255))</f>
        <v/>
      </c>
      <c r="C261" s="31">
        <f>SUM(H261:Q261)</f>
        <v>0.0</v>
      </c>
      <c r="D261" s="31">
        <f>SUM(AB261:AK261)</f>
        <v>0.0</v>
      </c>
      <c r="E261" s="31">
        <f>C261-D261</f>
        <v>0.0</v>
      </c>
      <c r="F261" s="31">
        <f>SUM(R261:AA261)</f>
        <v>0.0</v>
      </c>
      <c r="G261" s="34" t="str">
        <f>IF(OR(A261="",$F$5&lt;=0),"",REPT("█",ROUND(20*F261/$F$5,0)))</f>
        <v/>
      </c>
      <c r="H261" s="31">
        <f>AL261+MIN(R260+AB261-AL261,MAX(0,ROUND(Долги!$D$19-SUM($AL261:$AU261),2)))</f>
        <v>0.0</v>
      </c>
      <c r="I261" s="31">
        <f>AM261+MIN(S260+AC261-AM261,MAX(0,ROUND(ROUND(Долги!$D$19-SUM($AL261:$AU261),2)-(SUM($H261:H261)-SUM($AL261:AL261)),2)))</f>
        <v>0.0</v>
      </c>
      <c r="J261" s="31">
        <f>AN261+MIN(T260+AD261-AN261,MAX(0,ROUND(ROUND(Долги!$D$19-SUM($AL261:$AU261),2)-(SUM($H261:I261)-SUM($AL261:AM261)),2)))</f>
        <v>0.0</v>
      </c>
      <c r="K261" s="31">
        <f>AO261+MIN(U260+AE261-AO261,MAX(0,ROUND(ROUND(Долги!$D$19-SUM($AL261:$AU261),2)-(SUM($H261:J261)-SUM($AL261:AN261)),2)))</f>
        <v>0.0</v>
      </c>
      <c r="L261" s="31">
        <f>AP261+MIN(V260+AF261-AP261,MAX(0,ROUND(ROUND(Долги!$D$19-SUM($AL261:$AU261),2)-(SUM($H261:K261)-SUM($AL261:AO261)),2)))</f>
        <v>0.0</v>
      </c>
      <c r="M261" s="31">
        <f>AQ261+MIN(W260+AG261-AQ261,MAX(0,ROUND(ROUND(Долги!$D$19-SUM($AL261:$AU261),2)-(SUM($H261:L261)-SUM($AL261:AP261)),2)))</f>
        <v>0.0</v>
      </c>
      <c r="N261" s="31">
        <f>AR261+MIN(X260+AH261-AR261,MAX(0,ROUND(ROUND(Долги!$D$19-SUM($AL261:$AU261),2)-(SUM($H261:M261)-SUM($AL261:AQ261)),2)))</f>
        <v>0.0</v>
      </c>
      <c r="O261" s="31">
        <f>AS261+MIN(Y260+AI261-AS261,MAX(0,ROUND(ROUND(Долги!$D$19-SUM($AL261:$AU261),2)-(SUM($H261:N261)-SUM($AL261:AR261)),2)))</f>
        <v>0.0</v>
      </c>
      <c r="P261" s="31">
        <f>AT261+MIN(Z260+AJ261-AT261,MAX(0,ROUND(ROUND(Долги!$D$19-SUM($AL261:$AU261),2)-(SUM($H261:O261)-SUM($AL261:AS261)),2)))</f>
        <v>0.0</v>
      </c>
      <c r="Q261" s="31">
        <f>AU261+MIN(AA260+AK261-AU261,MAX(0,ROUND(ROUND(Долги!$D$19-SUM($AL261:$AU261),2)-(SUM($H261:P261)-SUM($AL261:AT261)),2)))</f>
        <v>0.0</v>
      </c>
      <c r="R261" s="31">
        <f>IF(R260+AB261-H261&lt;=0.01,0,ROUND(R260+AB261-H261,2))</f>
        <v>0.0</v>
      </c>
      <c r="S261" s="31">
        <f>IF(S260+AC261-I261&lt;=0.01,0,ROUND(S260+AC261-I261,2))</f>
        <v>0.0</v>
      </c>
      <c r="T261" s="31">
        <f>IF(T260+AD261-J261&lt;=0.01,0,ROUND(T260+AD261-J261,2))</f>
        <v>0.0</v>
      </c>
      <c r="U261" s="31">
        <f>IF(U260+AE261-K261&lt;=0.01,0,ROUND(U260+AE261-K261,2))</f>
        <v>0.0</v>
      </c>
      <c r="V261" s="31">
        <f>IF(V260+AF261-L261&lt;=0.01,0,ROUND(V260+AF261-L261,2))</f>
        <v>0.0</v>
      </c>
      <c r="W261" s="31">
        <f>IF(W260+AG261-M261&lt;=0.01,0,ROUND(W260+AG261-M261,2))</f>
        <v>0.0</v>
      </c>
      <c r="X261" s="31">
        <f>IF(X260+AH261-N261&lt;=0.01,0,ROUND(X260+AH261-N261,2))</f>
        <v>0.0</v>
      </c>
      <c r="Y261" s="31">
        <f>IF(Y260+AI261-O261&lt;=0.01,0,ROUND(Y260+AI261-O261,2))</f>
        <v>0.0</v>
      </c>
      <c r="Z261" s="31">
        <f>IF(Z260+AJ261-P261&lt;=0.01,0,ROUND(Z260+AJ261-P261,2))</f>
        <v>0.0</v>
      </c>
      <c r="AA261" s="31">
        <f>IF(AA260+AK261-Q261&lt;=0.01,0,ROUND(AA260+AK261-Q261,2))</f>
        <v>0.0</v>
      </c>
      <c r="AB261" s="31">
        <f>ROUND(R260*AB$5/1200,2)</f>
        <v>0.0</v>
      </c>
      <c r="AC261" s="31">
        <f>ROUND(S260*AC$5/1200,2)</f>
        <v>0.0</v>
      </c>
      <c r="AD261" s="31">
        <f>ROUND(T260*AD$5/1200,2)</f>
        <v>0.0</v>
      </c>
      <c r="AE261" s="31">
        <f>ROUND(U260*AE$5/1200,2)</f>
        <v>0.0</v>
      </c>
      <c r="AF261" s="31">
        <f>ROUND(V260*AF$5/1200,2)</f>
        <v>0.0</v>
      </c>
      <c r="AG261" s="31">
        <f>ROUND(W260*AG$5/1200,2)</f>
        <v>0.0</v>
      </c>
      <c r="AH261" s="31">
        <f>ROUND(X260*AH$5/1200,2)</f>
        <v>0.0</v>
      </c>
      <c r="AI261" s="31">
        <f>ROUND(Y260*AI$5/1200,2)</f>
        <v>0.0</v>
      </c>
      <c r="AJ261" s="31">
        <f>ROUND(Z260*AJ$5/1200,2)</f>
        <v>0.0</v>
      </c>
      <c r="AK261" s="31">
        <f>ROUND(AA260*AK$5/1200,2)</f>
        <v>0.0</v>
      </c>
      <c r="AL261" s="31">
        <f>MIN(AL$5,R260+AB261)</f>
        <v>0.0</v>
      </c>
      <c r="AM261" s="31">
        <f>MIN(AM$5,S260+AC261)</f>
        <v>0.0</v>
      </c>
      <c r="AN261" s="31">
        <f>MIN(AN$5,T260+AD261)</f>
        <v>0.0</v>
      </c>
      <c r="AO261" s="31">
        <f>MIN(AO$5,U260+AE261)</f>
        <v>0.0</v>
      </c>
      <c r="AP261" s="31">
        <f>MIN(AP$5,V260+AF261)</f>
        <v>0.0</v>
      </c>
      <c r="AQ261" s="31">
        <f>MIN(AQ$5,W260+AG261)</f>
        <v>0.0</v>
      </c>
      <c r="AR261" s="31">
        <f>MIN(AR$5,X260+AH261)</f>
        <v>0.0</v>
      </c>
      <c r="AS261" s="31">
        <f>MIN(AS$5,Y260+AI261)</f>
        <v>0.0</v>
      </c>
      <c r="AT261" s="31">
        <f>MIN(AT$5,Z260+AJ261)</f>
        <v>0.0</v>
      </c>
      <c r="AU261" s="31">
        <f>MIN(AU$5,AA260+AK261)</f>
        <v>0.0</v>
      </c>
    </row>
    <row r="262">
      <c r="A262" s="25" t="str">
        <f>IF(F261&gt;0.005,257,"")</f>
        <v/>
      </c>
      <c r="B262" s="33" t="str">
        <f>IF(A262="","",EDATE(Долги!$D$5,256))</f>
        <v/>
      </c>
      <c r="C262" s="31">
        <f>SUM(H262:Q262)</f>
        <v>0.0</v>
      </c>
      <c r="D262" s="31">
        <f>SUM(AB262:AK262)</f>
        <v>0.0</v>
      </c>
      <c r="E262" s="31">
        <f>C262-D262</f>
        <v>0.0</v>
      </c>
      <c r="F262" s="31">
        <f>SUM(R262:AA262)</f>
        <v>0.0</v>
      </c>
      <c r="G262" s="34" t="str">
        <f>IF(OR(A262="",$F$5&lt;=0),"",REPT("█",ROUND(20*F262/$F$5,0)))</f>
        <v/>
      </c>
      <c r="H262" s="31">
        <f>AL262+MIN(R261+AB262-AL262,MAX(0,ROUND(Долги!$D$19-SUM($AL262:$AU262),2)))</f>
        <v>0.0</v>
      </c>
      <c r="I262" s="31">
        <f>AM262+MIN(S261+AC262-AM262,MAX(0,ROUND(ROUND(Долги!$D$19-SUM($AL262:$AU262),2)-(SUM($H262:H262)-SUM($AL262:AL262)),2)))</f>
        <v>0.0</v>
      </c>
      <c r="J262" s="31">
        <f>AN262+MIN(T261+AD262-AN262,MAX(0,ROUND(ROUND(Долги!$D$19-SUM($AL262:$AU262),2)-(SUM($H262:I262)-SUM($AL262:AM262)),2)))</f>
        <v>0.0</v>
      </c>
      <c r="K262" s="31">
        <f>AO262+MIN(U261+AE262-AO262,MAX(0,ROUND(ROUND(Долги!$D$19-SUM($AL262:$AU262),2)-(SUM($H262:J262)-SUM($AL262:AN262)),2)))</f>
        <v>0.0</v>
      </c>
      <c r="L262" s="31">
        <f>AP262+MIN(V261+AF262-AP262,MAX(0,ROUND(ROUND(Долги!$D$19-SUM($AL262:$AU262),2)-(SUM($H262:K262)-SUM($AL262:AO262)),2)))</f>
        <v>0.0</v>
      </c>
      <c r="M262" s="31">
        <f>AQ262+MIN(W261+AG262-AQ262,MAX(0,ROUND(ROUND(Долги!$D$19-SUM($AL262:$AU262),2)-(SUM($H262:L262)-SUM($AL262:AP262)),2)))</f>
        <v>0.0</v>
      </c>
      <c r="N262" s="31">
        <f>AR262+MIN(X261+AH262-AR262,MAX(0,ROUND(ROUND(Долги!$D$19-SUM($AL262:$AU262),2)-(SUM($H262:M262)-SUM($AL262:AQ262)),2)))</f>
        <v>0.0</v>
      </c>
      <c r="O262" s="31">
        <f>AS262+MIN(Y261+AI262-AS262,MAX(0,ROUND(ROUND(Долги!$D$19-SUM($AL262:$AU262),2)-(SUM($H262:N262)-SUM($AL262:AR262)),2)))</f>
        <v>0.0</v>
      </c>
      <c r="P262" s="31">
        <f>AT262+MIN(Z261+AJ262-AT262,MAX(0,ROUND(ROUND(Долги!$D$19-SUM($AL262:$AU262),2)-(SUM($H262:O262)-SUM($AL262:AS262)),2)))</f>
        <v>0.0</v>
      </c>
      <c r="Q262" s="31">
        <f>AU262+MIN(AA261+AK262-AU262,MAX(0,ROUND(ROUND(Долги!$D$19-SUM($AL262:$AU262),2)-(SUM($H262:P262)-SUM($AL262:AT262)),2)))</f>
        <v>0.0</v>
      </c>
      <c r="R262" s="31">
        <f>IF(R261+AB262-H262&lt;=0.01,0,ROUND(R261+AB262-H262,2))</f>
        <v>0.0</v>
      </c>
      <c r="S262" s="31">
        <f>IF(S261+AC262-I262&lt;=0.01,0,ROUND(S261+AC262-I262,2))</f>
        <v>0.0</v>
      </c>
      <c r="T262" s="31">
        <f>IF(T261+AD262-J262&lt;=0.01,0,ROUND(T261+AD262-J262,2))</f>
        <v>0.0</v>
      </c>
      <c r="U262" s="31">
        <f>IF(U261+AE262-K262&lt;=0.01,0,ROUND(U261+AE262-K262,2))</f>
        <v>0.0</v>
      </c>
      <c r="V262" s="31">
        <f>IF(V261+AF262-L262&lt;=0.01,0,ROUND(V261+AF262-L262,2))</f>
        <v>0.0</v>
      </c>
      <c r="W262" s="31">
        <f>IF(W261+AG262-M262&lt;=0.01,0,ROUND(W261+AG262-M262,2))</f>
        <v>0.0</v>
      </c>
      <c r="X262" s="31">
        <f>IF(X261+AH262-N262&lt;=0.01,0,ROUND(X261+AH262-N262,2))</f>
        <v>0.0</v>
      </c>
      <c r="Y262" s="31">
        <f>IF(Y261+AI262-O262&lt;=0.01,0,ROUND(Y261+AI262-O262,2))</f>
        <v>0.0</v>
      </c>
      <c r="Z262" s="31">
        <f>IF(Z261+AJ262-P262&lt;=0.01,0,ROUND(Z261+AJ262-P262,2))</f>
        <v>0.0</v>
      </c>
      <c r="AA262" s="31">
        <f>IF(AA261+AK262-Q262&lt;=0.01,0,ROUND(AA261+AK262-Q262,2))</f>
        <v>0.0</v>
      </c>
      <c r="AB262" s="31">
        <f>ROUND(R261*AB$5/1200,2)</f>
        <v>0.0</v>
      </c>
      <c r="AC262" s="31">
        <f>ROUND(S261*AC$5/1200,2)</f>
        <v>0.0</v>
      </c>
      <c r="AD262" s="31">
        <f>ROUND(T261*AD$5/1200,2)</f>
        <v>0.0</v>
      </c>
      <c r="AE262" s="31">
        <f>ROUND(U261*AE$5/1200,2)</f>
        <v>0.0</v>
      </c>
      <c r="AF262" s="31">
        <f>ROUND(V261*AF$5/1200,2)</f>
        <v>0.0</v>
      </c>
      <c r="AG262" s="31">
        <f>ROUND(W261*AG$5/1200,2)</f>
        <v>0.0</v>
      </c>
      <c r="AH262" s="31">
        <f>ROUND(X261*AH$5/1200,2)</f>
        <v>0.0</v>
      </c>
      <c r="AI262" s="31">
        <f>ROUND(Y261*AI$5/1200,2)</f>
        <v>0.0</v>
      </c>
      <c r="AJ262" s="31">
        <f>ROUND(Z261*AJ$5/1200,2)</f>
        <v>0.0</v>
      </c>
      <c r="AK262" s="31">
        <f>ROUND(AA261*AK$5/1200,2)</f>
        <v>0.0</v>
      </c>
      <c r="AL262" s="31">
        <f>MIN(AL$5,R261+AB262)</f>
        <v>0.0</v>
      </c>
      <c r="AM262" s="31">
        <f>MIN(AM$5,S261+AC262)</f>
        <v>0.0</v>
      </c>
      <c r="AN262" s="31">
        <f>MIN(AN$5,T261+AD262)</f>
        <v>0.0</v>
      </c>
      <c r="AO262" s="31">
        <f>MIN(AO$5,U261+AE262)</f>
        <v>0.0</v>
      </c>
      <c r="AP262" s="31">
        <f>MIN(AP$5,V261+AF262)</f>
        <v>0.0</v>
      </c>
      <c r="AQ262" s="31">
        <f>MIN(AQ$5,W261+AG262)</f>
        <v>0.0</v>
      </c>
      <c r="AR262" s="31">
        <f>MIN(AR$5,X261+AH262)</f>
        <v>0.0</v>
      </c>
      <c r="AS262" s="31">
        <f>MIN(AS$5,Y261+AI262)</f>
        <v>0.0</v>
      </c>
      <c r="AT262" s="31">
        <f>MIN(AT$5,Z261+AJ262)</f>
        <v>0.0</v>
      </c>
      <c r="AU262" s="31">
        <f>MIN(AU$5,AA261+AK262)</f>
        <v>0.0</v>
      </c>
    </row>
    <row r="263">
      <c r="A263" s="25" t="str">
        <f>IF(F262&gt;0.005,258,"")</f>
        <v/>
      </c>
      <c r="B263" s="33" t="str">
        <f>IF(A263="","",EDATE(Долги!$D$5,257))</f>
        <v/>
      </c>
      <c r="C263" s="31">
        <f>SUM(H263:Q263)</f>
        <v>0.0</v>
      </c>
      <c r="D263" s="31">
        <f>SUM(AB263:AK263)</f>
        <v>0.0</v>
      </c>
      <c r="E263" s="31">
        <f>C263-D263</f>
        <v>0.0</v>
      </c>
      <c r="F263" s="31">
        <f>SUM(R263:AA263)</f>
        <v>0.0</v>
      </c>
      <c r="G263" s="34" t="str">
        <f>IF(OR(A263="",$F$5&lt;=0),"",REPT("█",ROUND(20*F263/$F$5,0)))</f>
        <v/>
      </c>
      <c r="H263" s="31">
        <f>AL263+MIN(R262+AB263-AL263,MAX(0,ROUND(Долги!$D$19-SUM($AL263:$AU263),2)))</f>
        <v>0.0</v>
      </c>
      <c r="I263" s="31">
        <f>AM263+MIN(S262+AC263-AM263,MAX(0,ROUND(ROUND(Долги!$D$19-SUM($AL263:$AU263),2)-(SUM($H263:H263)-SUM($AL263:AL263)),2)))</f>
        <v>0.0</v>
      </c>
      <c r="J263" s="31">
        <f>AN263+MIN(T262+AD263-AN263,MAX(0,ROUND(ROUND(Долги!$D$19-SUM($AL263:$AU263),2)-(SUM($H263:I263)-SUM($AL263:AM263)),2)))</f>
        <v>0.0</v>
      </c>
      <c r="K263" s="31">
        <f>AO263+MIN(U262+AE263-AO263,MAX(0,ROUND(ROUND(Долги!$D$19-SUM($AL263:$AU263),2)-(SUM($H263:J263)-SUM($AL263:AN263)),2)))</f>
        <v>0.0</v>
      </c>
      <c r="L263" s="31">
        <f>AP263+MIN(V262+AF263-AP263,MAX(0,ROUND(ROUND(Долги!$D$19-SUM($AL263:$AU263),2)-(SUM($H263:K263)-SUM($AL263:AO263)),2)))</f>
        <v>0.0</v>
      </c>
      <c r="M263" s="31">
        <f>AQ263+MIN(W262+AG263-AQ263,MAX(0,ROUND(ROUND(Долги!$D$19-SUM($AL263:$AU263),2)-(SUM($H263:L263)-SUM($AL263:AP263)),2)))</f>
        <v>0.0</v>
      </c>
      <c r="N263" s="31">
        <f>AR263+MIN(X262+AH263-AR263,MAX(0,ROUND(ROUND(Долги!$D$19-SUM($AL263:$AU263),2)-(SUM($H263:M263)-SUM($AL263:AQ263)),2)))</f>
        <v>0.0</v>
      </c>
      <c r="O263" s="31">
        <f>AS263+MIN(Y262+AI263-AS263,MAX(0,ROUND(ROUND(Долги!$D$19-SUM($AL263:$AU263),2)-(SUM($H263:N263)-SUM($AL263:AR263)),2)))</f>
        <v>0.0</v>
      </c>
      <c r="P263" s="31">
        <f>AT263+MIN(Z262+AJ263-AT263,MAX(0,ROUND(ROUND(Долги!$D$19-SUM($AL263:$AU263),2)-(SUM($H263:O263)-SUM($AL263:AS263)),2)))</f>
        <v>0.0</v>
      </c>
      <c r="Q263" s="31">
        <f>AU263+MIN(AA262+AK263-AU263,MAX(0,ROUND(ROUND(Долги!$D$19-SUM($AL263:$AU263),2)-(SUM($H263:P263)-SUM($AL263:AT263)),2)))</f>
        <v>0.0</v>
      </c>
      <c r="R263" s="31">
        <f>IF(R262+AB263-H263&lt;=0.01,0,ROUND(R262+AB263-H263,2))</f>
        <v>0.0</v>
      </c>
      <c r="S263" s="31">
        <f>IF(S262+AC263-I263&lt;=0.01,0,ROUND(S262+AC263-I263,2))</f>
        <v>0.0</v>
      </c>
      <c r="T263" s="31">
        <f>IF(T262+AD263-J263&lt;=0.01,0,ROUND(T262+AD263-J263,2))</f>
        <v>0.0</v>
      </c>
      <c r="U263" s="31">
        <f>IF(U262+AE263-K263&lt;=0.01,0,ROUND(U262+AE263-K263,2))</f>
        <v>0.0</v>
      </c>
      <c r="V263" s="31">
        <f>IF(V262+AF263-L263&lt;=0.01,0,ROUND(V262+AF263-L263,2))</f>
        <v>0.0</v>
      </c>
      <c r="W263" s="31">
        <f>IF(W262+AG263-M263&lt;=0.01,0,ROUND(W262+AG263-M263,2))</f>
        <v>0.0</v>
      </c>
      <c r="X263" s="31">
        <f>IF(X262+AH263-N263&lt;=0.01,0,ROUND(X262+AH263-N263,2))</f>
        <v>0.0</v>
      </c>
      <c r="Y263" s="31">
        <f>IF(Y262+AI263-O263&lt;=0.01,0,ROUND(Y262+AI263-O263,2))</f>
        <v>0.0</v>
      </c>
      <c r="Z263" s="31">
        <f>IF(Z262+AJ263-P263&lt;=0.01,0,ROUND(Z262+AJ263-P263,2))</f>
        <v>0.0</v>
      </c>
      <c r="AA263" s="31">
        <f>IF(AA262+AK263-Q263&lt;=0.01,0,ROUND(AA262+AK263-Q263,2))</f>
        <v>0.0</v>
      </c>
      <c r="AB263" s="31">
        <f>ROUND(R262*AB$5/1200,2)</f>
        <v>0.0</v>
      </c>
      <c r="AC263" s="31">
        <f>ROUND(S262*AC$5/1200,2)</f>
        <v>0.0</v>
      </c>
      <c r="AD263" s="31">
        <f>ROUND(T262*AD$5/1200,2)</f>
        <v>0.0</v>
      </c>
      <c r="AE263" s="31">
        <f>ROUND(U262*AE$5/1200,2)</f>
        <v>0.0</v>
      </c>
      <c r="AF263" s="31">
        <f>ROUND(V262*AF$5/1200,2)</f>
        <v>0.0</v>
      </c>
      <c r="AG263" s="31">
        <f>ROUND(W262*AG$5/1200,2)</f>
        <v>0.0</v>
      </c>
      <c r="AH263" s="31">
        <f>ROUND(X262*AH$5/1200,2)</f>
        <v>0.0</v>
      </c>
      <c r="AI263" s="31">
        <f>ROUND(Y262*AI$5/1200,2)</f>
        <v>0.0</v>
      </c>
      <c r="AJ263" s="31">
        <f>ROUND(Z262*AJ$5/1200,2)</f>
        <v>0.0</v>
      </c>
      <c r="AK263" s="31">
        <f>ROUND(AA262*AK$5/1200,2)</f>
        <v>0.0</v>
      </c>
      <c r="AL263" s="31">
        <f>MIN(AL$5,R262+AB263)</f>
        <v>0.0</v>
      </c>
      <c r="AM263" s="31">
        <f>MIN(AM$5,S262+AC263)</f>
        <v>0.0</v>
      </c>
      <c r="AN263" s="31">
        <f>MIN(AN$5,T262+AD263)</f>
        <v>0.0</v>
      </c>
      <c r="AO263" s="31">
        <f>MIN(AO$5,U262+AE263)</f>
        <v>0.0</v>
      </c>
      <c r="AP263" s="31">
        <f>MIN(AP$5,V262+AF263)</f>
        <v>0.0</v>
      </c>
      <c r="AQ263" s="31">
        <f>MIN(AQ$5,W262+AG263)</f>
        <v>0.0</v>
      </c>
      <c r="AR263" s="31">
        <f>MIN(AR$5,X262+AH263)</f>
        <v>0.0</v>
      </c>
      <c r="AS263" s="31">
        <f>MIN(AS$5,Y262+AI263)</f>
        <v>0.0</v>
      </c>
      <c r="AT263" s="31">
        <f>MIN(AT$5,Z262+AJ263)</f>
        <v>0.0</v>
      </c>
      <c r="AU263" s="31">
        <f>MIN(AU$5,AA262+AK263)</f>
        <v>0.0</v>
      </c>
    </row>
    <row r="264">
      <c r="A264" s="25" t="str">
        <f>IF(F263&gt;0.005,259,"")</f>
        <v/>
      </c>
      <c r="B264" s="33" t="str">
        <f>IF(A264="","",EDATE(Долги!$D$5,258))</f>
        <v/>
      </c>
      <c r="C264" s="31">
        <f>SUM(H264:Q264)</f>
        <v>0.0</v>
      </c>
      <c r="D264" s="31">
        <f>SUM(AB264:AK264)</f>
        <v>0.0</v>
      </c>
      <c r="E264" s="31">
        <f>C264-D264</f>
        <v>0.0</v>
      </c>
      <c r="F264" s="31">
        <f>SUM(R264:AA264)</f>
        <v>0.0</v>
      </c>
      <c r="G264" s="34" t="str">
        <f>IF(OR(A264="",$F$5&lt;=0),"",REPT("█",ROUND(20*F264/$F$5,0)))</f>
        <v/>
      </c>
      <c r="H264" s="31">
        <f>AL264+MIN(R263+AB264-AL264,MAX(0,ROUND(Долги!$D$19-SUM($AL264:$AU264),2)))</f>
        <v>0.0</v>
      </c>
      <c r="I264" s="31">
        <f>AM264+MIN(S263+AC264-AM264,MAX(0,ROUND(ROUND(Долги!$D$19-SUM($AL264:$AU264),2)-(SUM($H264:H264)-SUM($AL264:AL264)),2)))</f>
        <v>0.0</v>
      </c>
      <c r="J264" s="31">
        <f>AN264+MIN(T263+AD264-AN264,MAX(0,ROUND(ROUND(Долги!$D$19-SUM($AL264:$AU264),2)-(SUM($H264:I264)-SUM($AL264:AM264)),2)))</f>
        <v>0.0</v>
      </c>
      <c r="K264" s="31">
        <f>AO264+MIN(U263+AE264-AO264,MAX(0,ROUND(ROUND(Долги!$D$19-SUM($AL264:$AU264),2)-(SUM($H264:J264)-SUM($AL264:AN264)),2)))</f>
        <v>0.0</v>
      </c>
      <c r="L264" s="31">
        <f>AP264+MIN(V263+AF264-AP264,MAX(0,ROUND(ROUND(Долги!$D$19-SUM($AL264:$AU264),2)-(SUM($H264:K264)-SUM($AL264:AO264)),2)))</f>
        <v>0.0</v>
      </c>
      <c r="M264" s="31">
        <f>AQ264+MIN(W263+AG264-AQ264,MAX(0,ROUND(ROUND(Долги!$D$19-SUM($AL264:$AU264),2)-(SUM($H264:L264)-SUM($AL264:AP264)),2)))</f>
        <v>0.0</v>
      </c>
      <c r="N264" s="31">
        <f>AR264+MIN(X263+AH264-AR264,MAX(0,ROUND(ROUND(Долги!$D$19-SUM($AL264:$AU264),2)-(SUM($H264:M264)-SUM($AL264:AQ264)),2)))</f>
        <v>0.0</v>
      </c>
      <c r="O264" s="31">
        <f>AS264+MIN(Y263+AI264-AS264,MAX(0,ROUND(ROUND(Долги!$D$19-SUM($AL264:$AU264),2)-(SUM($H264:N264)-SUM($AL264:AR264)),2)))</f>
        <v>0.0</v>
      </c>
      <c r="P264" s="31">
        <f>AT264+MIN(Z263+AJ264-AT264,MAX(0,ROUND(ROUND(Долги!$D$19-SUM($AL264:$AU264),2)-(SUM($H264:O264)-SUM($AL264:AS264)),2)))</f>
        <v>0.0</v>
      </c>
      <c r="Q264" s="31">
        <f>AU264+MIN(AA263+AK264-AU264,MAX(0,ROUND(ROUND(Долги!$D$19-SUM($AL264:$AU264),2)-(SUM($H264:P264)-SUM($AL264:AT264)),2)))</f>
        <v>0.0</v>
      </c>
      <c r="R264" s="31">
        <f>IF(R263+AB264-H264&lt;=0.01,0,ROUND(R263+AB264-H264,2))</f>
        <v>0.0</v>
      </c>
      <c r="S264" s="31">
        <f>IF(S263+AC264-I264&lt;=0.01,0,ROUND(S263+AC264-I264,2))</f>
        <v>0.0</v>
      </c>
      <c r="T264" s="31">
        <f>IF(T263+AD264-J264&lt;=0.01,0,ROUND(T263+AD264-J264,2))</f>
        <v>0.0</v>
      </c>
      <c r="U264" s="31">
        <f>IF(U263+AE264-K264&lt;=0.01,0,ROUND(U263+AE264-K264,2))</f>
        <v>0.0</v>
      </c>
      <c r="V264" s="31">
        <f>IF(V263+AF264-L264&lt;=0.01,0,ROUND(V263+AF264-L264,2))</f>
        <v>0.0</v>
      </c>
      <c r="W264" s="31">
        <f>IF(W263+AG264-M264&lt;=0.01,0,ROUND(W263+AG264-M264,2))</f>
        <v>0.0</v>
      </c>
      <c r="X264" s="31">
        <f>IF(X263+AH264-N264&lt;=0.01,0,ROUND(X263+AH264-N264,2))</f>
        <v>0.0</v>
      </c>
      <c r="Y264" s="31">
        <f>IF(Y263+AI264-O264&lt;=0.01,0,ROUND(Y263+AI264-O264,2))</f>
        <v>0.0</v>
      </c>
      <c r="Z264" s="31">
        <f>IF(Z263+AJ264-P264&lt;=0.01,0,ROUND(Z263+AJ264-P264,2))</f>
        <v>0.0</v>
      </c>
      <c r="AA264" s="31">
        <f>IF(AA263+AK264-Q264&lt;=0.01,0,ROUND(AA263+AK264-Q264,2))</f>
        <v>0.0</v>
      </c>
      <c r="AB264" s="31">
        <f>ROUND(R263*AB$5/1200,2)</f>
        <v>0.0</v>
      </c>
      <c r="AC264" s="31">
        <f>ROUND(S263*AC$5/1200,2)</f>
        <v>0.0</v>
      </c>
      <c r="AD264" s="31">
        <f>ROUND(T263*AD$5/1200,2)</f>
        <v>0.0</v>
      </c>
      <c r="AE264" s="31">
        <f>ROUND(U263*AE$5/1200,2)</f>
        <v>0.0</v>
      </c>
      <c r="AF264" s="31">
        <f>ROUND(V263*AF$5/1200,2)</f>
        <v>0.0</v>
      </c>
      <c r="AG264" s="31">
        <f>ROUND(W263*AG$5/1200,2)</f>
        <v>0.0</v>
      </c>
      <c r="AH264" s="31">
        <f>ROUND(X263*AH$5/1200,2)</f>
        <v>0.0</v>
      </c>
      <c r="AI264" s="31">
        <f>ROUND(Y263*AI$5/1200,2)</f>
        <v>0.0</v>
      </c>
      <c r="AJ264" s="31">
        <f>ROUND(Z263*AJ$5/1200,2)</f>
        <v>0.0</v>
      </c>
      <c r="AK264" s="31">
        <f>ROUND(AA263*AK$5/1200,2)</f>
        <v>0.0</v>
      </c>
      <c r="AL264" s="31">
        <f>MIN(AL$5,R263+AB264)</f>
        <v>0.0</v>
      </c>
      <c r="AM264" s="31">
        <f>MIN(AM$5,S263+AC264)</f>
        <v>0.0</v>
      </c>
      <c r="AN264" s="31">
        <f>MIN(AN$5,T263+AD264)</f>
        <v>0.0</v>
      </c>
      <c r="AO264" s="31">
        <f>MIN(AO$5,U263+AE264)</f>
        <v>0.0</v>
      </c>
      <c r="AP264" s="31">
        <f>MIN(AP$5,V263+AF264)</f>
        <v>0.0</v>
      </c>
      <c r="AQ264" s="31">
        <f>MIN(AQ$5,W263+AG264)</f>
        <v>0.0</v>
      </c>
      <c r="AR264" s="31">
        <f>MIN(AR$5,X263+AH264)</f>
        <v>0.0</v>
      </c>
      <c r="AS264" s="31">
        <f>MIN(AS$5,Y263+AI264)</f>
        <v>0.0</v>
      </c>
      <c r="AT264" s="31">
        <f>MIN(AT$5,Z263+AJ264)</f>
        <v>0.0</v>
      </c>
      <c r="AU264" s="31">
        <f>MIN(AU$5,AA263+AK264)</f>
        <v>0.0</v>
      </c>
    </row>
    <row r="265">
      <c r="A265" s="25" t="str">
        <f>IF(F264&gt;0.005,260,"")</f>
        <v/>
      </c>
      <c r="B265" s="33" t="str">
        <f>IF(A265="","",EDATE(Долги!$D$5,259))</f>
        <v/>
      </c>
      <c r="C265" s="31">
        <f>SUM(H265:Q265)</f>
        <v>0.0</v>
      </c>
      <c r="D265" s="31">
        <f>SUM(AB265:AK265)</f>
        <v>0.0</v>
      </c>
      <c r="E265" s="31">
        <f>C265-D265</f>
        <v>0.0</v>
      </c>
      <c r="F265" s="31">
        <f>SUM(R265:AA265)</f>
        <v>0.0</v>
      </c>
      <c r="G265" s="34" t="str">
        <f>IF(OR(A265="",$F$5&lt;=0),"",REPT("█",ROUND(20*F265/$F$5,0)))</f>
        <v/>
      </c>
      <c r="H265" s="31">
        <f>AL265+MIN(R264+AB265-AL265,MAX(0,ROUND(Долги!$D$19-SUM($AL265:$AU265),2)))</f>
        <v>0.0</v>
      </c>
      <c r="I265" s="31">
        <f>AM265+MIN(S264+AC265-AM265,MAX(0,ROUND(ROUND(Долги!$D$19-SUM($AL265:$AU265),2)-(SUM($H265:H265)-SUM($AL265:AL265)),2)))</f>
        <v>0.0</v>
      </c>
      <c r="J265" s="31">
        <f>AN265+MIN(T264+AD265-AN265,MAX(0,ROUND(ROUND(Долги!$D$19-SUM($AL265:$AU265),2)-(SUM($H265:I265)-SUM($AL265:AM265)),2)))</f>
        <v>0.0</v>
      </c>
      <c r="K265" s="31">
        <f>AO265+MIN(U264+AE265-AO265,MAX(0,ROUND(ROUND(Долги!$D$19-SUM($AL265:$AU265),2)-(SUM($H265:J265)-SUM($AL265:AN265)),2)))</f>
        <v>0.0</v>
      </c>
      <c r="L265" s="31">
        <f>AP265+MIN(V264+AF265-AP265,MAX(0,ROUND(ROUND(Долги!$D$19-SUM($AL265:$AU265),2)-(SUM($H265:K265)-SUM($AL265:AO265)),2)))</f>
        <v>0.0</v>
      </c>
      <c r="M265" s="31">
        <f>AQ265+MIN(W264+AG265-AQ265,MAX(0,ROUND(ROUND(Долги!$D$19-SUM($AL265:$AU265),2)-(SUM($H265:L265)-SUM($AL265:AP265)),2)))</f>
        <v>0.0</v>
      </c>
      <c r="N265" s="31">
        <f>AR265+MIN(X264+AH265-AR265,MAX(0,ROUND(ROUND(Долги!$D$19-SUM($AL265:$AU265),2)-(SUM($H265:M265)-SUM($AL265:AQ265)),2)))</f>
        <v>0.0</v>
      </c>
      <c r="O265" s="31">
        <f>AS265+MIN(Y264+AI265-AS265,MAX(0,ROUND(ROUND(Долги!$D$19-SUM($AL265:$AU265),2)-(SUM($H265:N265)-SUM($AL265:AR265)),2)))</f>
        <v>0.0</v>
      </c>
      <c r="P265" s="31">
        <f>AT265+MIN(Z264+AJ265-AT265,MAX(0,ROUND(ROUND(Долги!$D$19-SUM($AL265:$AU265),2)-(SUM($H265:O265)-SUM($AL265:AS265)),2)))</f>
        <v>0.0</v>
      </c>
      <c r="Q265" s="31">
        <f>AU265+MIN(AA264+AK265-AU265,MAX(0,ROUND(ROUND(Долги!$D$19-SUM($AL265:$AU265),2)-(SUM($H265:P265)-SUM($AL265:AT265)),2)))</f>
        <v>0.0</v>
      </c>
      <c r="R265" s="31">
        <f>IF(R264+AB265-H265&lt;=0.01,0,ROUND(R264+AB265-H265,2))</f>
        <v>0.0</v>
      </c>
      <c r="S265" s="31">
        <f>IF(S264+AC265-I265&lt;=0.01,0,ROUND(S264+AC265-I265,2))</f>
        <v>0.0</v>
      </c>
      <c r="T265" s="31">
        <f>IF(T264+AD265-J265&lt;=0.01,0,ROUND(T264+AD265-J265,2))</f>
        <v>0.0</v>
      </c>
      <c r="U265" s="31">
        <f>IF(U264+AE265-K265&lt;=0.01,0,ROUND(U264+AE265-K265,2))</f>
        <v>0.0</v>
      </c>
      <c r="V265" s="31">
        <f>IF(V264+AF265-L265&lt;=0.01,0,ROUND(V264+AF265-L265,2))</f>
        <v>0.0</v>
      </c>
      <c r="W265" s="31">
        <f>IF(W264+AG265-M265&lt;=0.01,0,ROUND(W264+AG265-M265,2))</f>
        <v>0.0</v>
      </c>
      <c r="X265" s="31">
        <f>IF(X264+AH265-N265&lt;=0.01,0,ROUND(X264+AH265-N265,2))</f>
        <v>0.0</v>
      </c>
      <c r="Y265" s="31">
        <f>IF(Y264+AI265-O265&lt;=0.01,0,ROUND(Y264+AI265-O265,2))</f>
        <v>0.0</v>
      </c>
      <c r="Z265" s="31">
        <f>IF(Z264+AJ265-P265&lt;=0.01,0,ROUND(Z264+AJ265-P265,2))</f>
        <v>0.0</v>
      </c>
      <c r="AA265" s="31">
        <f>IF(AA264+AK265-Q265&lt;=0.01,0,ROUND(AA264+AK265-Q265,2))</f>
        <v>0.0</v>
      </c>
      <c r="AB265" s="31">
        <f>ROUND(R264*AB$5/1200,2)</f>
        <v>0.0</v>
      </c>
      <c r="AC265" s="31">
        <f>ROUND(S264*AC$5/1200,2)</f>
        <v>0.0</v>
      </c>
      <c r="AD265" s="31">
        <f>ROUND(T264*AD$5/1200,2)</f>
        <v>0.0</v>
      </c>
      <c r="AE265" s="31">
        <f>ROUND(U264*AE$5/1200,2)</f>
        <v>0.0</v>
      </c>
      <c r="AF265" s="31">
        <f>ROUND(V264*AF$5/1200,2)</f>
        <v>0.0</v>
      </c>
      <c r="AG265" s="31">
        <f>ROUND(W264*AG$5/1200,2)</f>
        <v>0.0</v>
      </c>
      <c r="AH265" s="31">
        <f>ROUND(X264*AH$5/1200,2)</f>
        <v>0.0</v>
      </c>
      <c r="AI265" s="31">
        <f>ROUND(Y264*AI$5/1200,2)</f>
        <v>0.0</v>
      </c>
      <c r="AJ265" s="31">
        <f>ROUND(Z264*AJ$5/1200,2)</f>
        <v>0.0</v>
      </c>
      <c r="AK265" s="31">
        <f>ROUND(AA264*AK$5/1200,2)</f>
        <v>0.0</v>
      </c>
      <c r="AL265" s="31">
        <f>MIN(AL$5,R264+AB265)</f>
        <v>0.0</v>
      </c>
      <c r="AM265" s="31">
        <f>MIN(AM$5,S264+AC265)</f>
        <v>0.0</v>
      </c>
      <c r="AN265" s="31">
        <f>MIN(AN$5,T264+AD265)</f>
        <v>0.0</v>
      </c>
      <c r="AO265" s="31">
        <f>MIN(AO$5,U264+AE265)</f>
        <v>0.0</v>
      </c>
      <c r="AP265" s="31">
        <f>MIN(AP$5,V264+AF265)</f>
        <v>0.0</v>
      </c>
      <c r="AQ265" s="31">
        <f>MIN(AQ$5,W264+AG265)</f>
        <v>0.0</v>
      </c>
      <c r="AR265" s="31">
        <f>MIN(AR$5,X264+AH265)</f>
        <v>0.0</v>
      </c>
      <c r="AS265" s="31">
        <f>MIN(AS$5,Y264+AI265)</f>
        <v>0.0</v>
      </c>
      <c r="AT265" s="31">
        <f>MIN(AT$5,Z264+AJ265)</f>
        <v>0.0</v>
      </c>
      <c r="AU265" s="31">
        <f>MIN(AU$5,AA264+AK265)</f>
        <v>0.0</v>
      </c>
    </row>
    <row r="266">
      <c r="A266" s="25" t="str">
        <f>IF(F265&gt;0.005,261,"")</f>
        <v/>
      </c>
      <c r="B266" s="33" t="str">
        <f>IF(A266="","",EDATE(Долги!$D$5,260))</f>
        <v/>
      </c>
      <c r="C266" s="31">
        <f>SUM(H266:Q266)</f>
        <v>0.0</v>
      </c>
      <c r="D266" s="31">
        <f>SUM(AB266:AK266)</f>
        <v>0.0</v>
      </c>
      <c r="E266" s="31">
        <f>C266-D266</f>
        <v>0.0</v>
      </c>
      <c r="F266" s="31">
        <f>SUM(R266:AA266)</f>
        <v>0.0</v>
      </c>
      <c r="G266" s="34" t="str">
        <f>IF(OR(A266="",$F$5&lt;=0),"",REPT("█",ROUND(20*F266/$F$5,0)))</f>
        <v/>
      </c>
      <c r="H266" s="31">
        <f>AL266+MIN(R265+AB266-AL266,MAX(0,ROUND(Долги!$D$19-SUM($AL266:$AU266),2)))</f>
        <v>0.0</v>
      </c>
      <c r="I266" s="31">
        <f>AM266+MIN(S265+AC266-AM266,MAX(0,ROUND(ROUND(Долги!$D$19-SUM($AL266:$AU266),2)-(SUM($H266:H266)-SUM($AL266:AL266)),2)))</f>
        <v>0.0</v>
      </c>
      <c r="J266" s="31">
        <f>AN266+MIN(T265+AD266-AN266,MAX(0,ROUND(ROUND(Долги!$D$19-SUM($AL266:$AU266),2)-(SUM($H266:I266)-SUM($AL266:AM266)),2)))</f>
        <v>0.0</v>
      </c>
      <c r="K266" s="31">
        <f>AO266+MIN(U265+AE266-AO266,MAX(0,ROUND(ROUND(Долги!$D$19-SUM($AL266:$AU266),2)-(SUM($H266:J266)-SUM($AL266:AN266)),2)))</f>
        <v>0.0</v>
      </c>
      <c r="L266" s="31">
        <f>AP266+MIN(V265+AF266-AP266,MAX(0,ROUND(ROUND(Долги!$D$19-SUM($AL266:$AU266),2)-(SUM($H266:K266)-SUM($AL266:AO266)),2)))</f>
        <v>0.0</v>
      </c>
      <c r="M266" s="31">
        <f>AQ266+MIN(W265+AG266-AQ266,MAX(0,ROUND(ROUND(Долги!$D$19-SUM($AL266:$AU266),2)-(SUM($H266:L266)-SUM($AL266:AP266)),2)))</f>
        <v>0.0</v>
      </c>
      <c r="N266" s="31">
        <f>AR266+MIN(X265+AH266-AR266,MAX(0,ROUND(ROUND(Долги!$D$19-SUM($AL266:$AU266),2)-(SUM($H266:M266)-SUM($AL266:AQ266)),2)))</f>
        <v>0.0</v>
      </c>
      <c r="O266" s="31">
        <f>AS266+MIN(Y265+AI266-AS266,MAX(0,ROUND(ROUND(Долги!$D$19-SUM($AL266:$AU266),2)-(SUM($H266:N266)-SUM($AL266:AR266)),2)))</f>
        <v>0.0</v>
      </c>
      <c r="P266" s="31">
        <f>AT266+MIN(Z265+AJ266-AT266,MAX(0,ROUND(ROUND(Долги!$D$19-SUM($AL266:$AU266),2)-(SUM($H266:O266)-SUM($AL266:AS266)),2)))</f>
        <v>0.0</v>
      </c>
      <c r="Q266" s="31">
        <f>AU266+MIN(AA265+AK266-AU266,MAX(0,ROUND(ROUND(Долги!$D$19-SUM($AL266:$AU266),2)-(SUM($H266:P266)-SUM($AL266:AT266)),2)))</f>
        <v>0.0</v>
      </c>
      <c r="R266" s="31">
        <f>IF(R265+AB266-H266&lt;=0.01,0,ROUND(R265+AB266-H266,2))</f>
        <v>0.0</v>
      </c>
      <c r="S266" s="31">
        <f>IF(S265+AC266-I266&lt;=0.01,0,ROUND(S265+AC266-I266,2))</f>
        <v>0.0</v>
      </c>
      <c r="T266" s="31">
        <f>IF(T265+AD266-J266&lt;=0.01,0,ROUND(T265+AD266-J266,2))</f>
        <v>0.0</v>
      </c>
      <c r="U266" s="31">
        <f>IF(U265+AE266-K266&lt;=0.01,0,ROUND(U265+AE266-K266,2))</f>
        <v>0.0</v>
      </c>
      <c r="V266" s="31">
        <f>IF(V265+AF266-L266&lt;=0.01,0,ROUND(V265+AF266-L266,2))</f>
        <v>0.0</v>
      </c>
      <c r="W266" s="31">
        <f>IF(W265+AG266-M266&lt;=0.01,0,ROUND(W265+AG266-M266,2))</f>
        <v>0.0</v>
      </c>
      <c r="X266" s="31">
        <f>IF(X265+AH266-N266&lt;=0.01,0,ROUND(X265+AH266-N266,2))</f>
        <v>0.0</v>
      </c>
      <c r="Y266" s="31">
        <f>IF(Y265+AI266-O266&lt;=0.01,0,ROUND(Y265+AI266-O266,2))</f>
        <v>0.0</v>
      </c>
      <c r="Z266" s="31">
        <f>IF(Z265+AJ266-P266&lt;=0.01,0,ROUND(Z265+AJ266-P266,2))</f>
        <v>0.0</v>
      </c>
      <c r="AA266" s="31">
        <f>IF(AA265+AK266-Q266&lt;=0.01,0,ROUND(AA265+AK266-Q266,2))</f>
        <v>0.0</v>
      </c>
      <c r="AB266" s="31">
        <f>ROUND(R265*AB$5/1200,2)</f>
        <v>0.0</v>
      </c>
      <c r="AC266" s="31">
        <f>ROUND(S265*AC$5/1200,2)</f>
        <v>0.0</v>
      </c>
      <c r="AD266" s="31">
        <f>ROUND(T265*AD$5/1200,2)</f>
        <v>0.0</v>
      </c>
      <c r="AE266" s="31">
        <f>ROUND(U265*AE$5/1200,2)</f>
        <v>0.0</v>
      </c>
      <c r="AF266" s="31">
        <f>ROUND(V265*AF$5/1200,2)</f>
        <v>0.0</v>
      </c>
      <c r="AG266" s="31">
        <f>ROUND(W265*AG$5/1200,2)</f>
        <v>0.0</v>
      </c>
      <c r="AH266" s="31">
        <f>ROUND(X265*AH$5/1200,2)</f>
        <v>0.0</v>
      </c>
      <c r="AI266" s="31">
        <f>ROUND(Y265*AI$5/1200,2)</f>
        <v>0.0</v>
      </c>
      <c r="AJ266" s="31">
        <f>ROUND(Z265*AJ$5/1200,2)</f>
        <v>0.0</v>
      </c>
      <c r="AK266" s="31">
        <f>ROUND(AA265*AK$5/1200,2)</f>
        <v>0.0</v>
      </c>
      <c r="AL266" s="31">
        <f>MIN(AL$5,R265+AB266)</f>
        <v>0.0</v>
      </c>
      <c r="AM266" s="31">
        <f>MIN(AM$5,S265+AC266)</f>
        <v>0.0</v>
      </c>
      <c r="AN266" s="31">
        <f>MIN(AN$5,T265+AD266)</f>
        <v>0.0</v>
      </c>
      <c r="AO266" s="31">
        <f>MIN(AO$5,U265+AE266)</f>
        <v>0.0</v>
      </c>
      <c r="AP266" s="31">
        <f>MIN(AP$5,V265+AF266)</f>
        <v>0.0</v>
      </c>
      <c r="AQ266" s="31">
        <f>MIN(AQ$5,W265+AG266)</f>
        <v>0.0</v>
      </c>
      <c r="AR266" s="31">
        <f>MIN(AR$5,X265+AH266)</f>
        <v>0.0</v>
      </c>
      <c r="AS266" s="31">
        <f>MIN(AS$5,Y265+AI266)</f>
        <v>0.0</v>
      </c>
      <c r="AT266" s="31">
        <f>MIN(AT$5,Z265+AJ266)</f>
        <v>0.0</v>
      </c>
      <c r="AU266" s="31">
        <f>MIN(AU$5,AA265+AK266)</f>
        <v>0.0</v>
      </c>
    </row>
    <row r="267">
      <c r="A267" s="25" t="str">
        <f>IF(F266&gt;0.005,262,"")</f>
        <v/>
      </c>
      <c r="B267" s="33" t="str">
        <f>IF(A267="","",EDATE(Долги!$D$5,261))</f>
        <v/>
      </c>
      <c r="C267" s="31">
        <f>SUM(H267:Q267)</f>
        <v>0.0</v>
      </c>
      <c r="D267" s="31">
        <f>SUM(AB267:AK267)</f>
        <v>0.0</v>
      </c>
      <c r="E267" s="31">
        <f>C267-D267</f>
        <v>0.0</v>
      </c>
      <c r="F267" s="31">
        <f>SUM(R267:AA267)</f>
        <v>0.0</v>
      </c>
      <c r="G267" s="34" t="str">
        <f>IF(OR(A267="",$F$5&lt;=0),"",REPT("█",ROUND(20*F267/$F$5,0)))</f>
        <v/>
      </c>
      <c r="H267" s="31">
        <f>AL267+MIN(R266+AB267-AL267,MAX(0,ROUND(Долги!$D$19-SUM($AL267:$AU267),2)))</f>
        <v>0.0</v>
      </c>
      <c r="I267" s="31">
        <f>AM267+MIN(S266+AC267-AM267,MAX(0,ROUND(ROUND(Долги!$D$19-SUM($AL267:$AU267),2)-(SUM($H267:H267)-SUM($AL267:AL267)),2)))</f>
        <v>0.0</v>
      </c>
      <c r="J267" s="31">
        <f>AN267+MIN(T266+AD267-AN267,MAX(0,ROUND(ROUND(Долги!$D$19-SUM($AL267:$AU267),2)-(SUM($H267:I267)-SUM($AL267:AM267)),2)))</f>
        <v>0.0</v>
      </c>
      <c r="K267" s="31">
        <f>AO267+MIN(U266+AE267-AO267,MAX(0,ROUND(ROUND(Долги!$D$19-SUM($AL267:$AU267),2)-(SUM($H267:J267)-SUM($AL267:AN267)),2)))</f>
        <v>0.0</v>
      </c>
      <c r="L267" s="31">
        <f>AP267+MIN(V266+AF267-AP267,MAX(0,ROUND(ROUND(Долги!$D$19-SUM($AL267:$AU267),2)-(SUM($H267:K267)-SUM($AL267:AO267)),2)))</f>
        <v>0.0</v>
      </c>
      <c r="M267" s="31">
        <f>AQ267+MIN(W266+AG267-AQ267,MAX(0,ROUND(ROUND(Долги!$D$19-SUM($AL267:$AU267),2)-(SUM($H267:L267)-SUM($AL267:AP267)),2)))</f>
        <v>0.0</v>
      </c>
      <c r="N267" s="31">
        <f>AR267+MIN(X266+AH267-AR267,MAX(0,ROUND(ROUND(Долги!$D$19-SUM($AL267:$AU267),2)-(SUM($H267:M267)-SUM($AL267:AQ267)),2)))</f>
        <v>0.0</v>
      </c>
      <c r="O267" s="31">
        <f>AS267+MIN(Y266+AI267-AS267,MAX(0,ROUND(ROUND(Долги!$D$19-SUM($AL267:$AU267),2)-(SUM($H267:N267)-SUM($AL267:AR267)),2)))</f>
        <v>0.0</v>
      </c>
      <c r="P267" s="31">
        <f>AT267+MIN(Z266+AJ267-AT267,MAX(0,ROUND(ROUND(Долги!$D$19-SUM($AL267:$AU267),2)-(SUM($H267:O267)-SUM($AL267:AS267)),2)))</f>
        <v>0.0</v>
      </c>
      <c r="Q267" s="31">
        <f>AU267+MIN(AA266+AK267-AU267,MAX(0,ROUND(ROUND(Долги!$D$19-SUM($AL267:$AU267),2)-(SUM($H267:P267)-SUM($AL267:AT267)),2)))</f>
        <v>0.0</v>
      </c>
      <c r="R267" s="31">
        <f>IF(R266+AB267-H267&lt;=0.01,0,ROUND(R266+AB267-H267,2))</f>
        <v>0.0</v>
      </c>
      <c r="S267" s="31">
        <f>IF(S266+AC267-I267&lt;=0.01,0,ROUND(S266+AC267-I267,2))</f>
        <v>0.0</v>
      </c>
      <c r="T267" s="31">
        <f>IF(T266+AD267-J267&lt;=0.01,0,ROUND(T266+AD267-J267,2))</f>
        <v>0.0</v>
      </c>
      <c r="U267" s="31">
        <f>IF(U266+AE267-K267&lt;=0.01,0,ROUND(U266+AE267-K267,2))</f>
        <v>0.0</v>
      </c>
      <c r="V267" s="31">
        <f>IF(V266+AF267-L267&lt;=0.01,0,ROUND(V266+AF267-L267,2))</f>
        <v>0.0</v>
      </c>
      <c r="W267" s="31">
        <f>IF(W266+AG267-M267&lt;=0.01,0,ROUND(W266+AG267-M267,2))</f>
        <v>0.0</v>
      </c>
      <c r="X267" s="31">
        <f>IF(X266+AH267-N267&lt;=0.01,0,ROUND(X266+AH267-N267,2))</f>
        <v>0.0</v>
      </c>
      <c r="Y267" s="31">
        <f>IF(Y266+AI267-O267&lt;=0.01,0,ROUND(Y266+AI267-O267,2))</f>
        <v>0.0</v>
      </c>
      <c r="Z267" s="31">
        <f>IF(Z266+AJ267-P267&lt;=0.01,0,ROUND(Z266+AJ267-P267,2))</f>
        <v>0.0</v>
      </c>
      <c r="AA267" s="31">
        <f>IF(AA266+AK267-Q267&lt;=0.01,0,ROUND(AA266+AK267-Q267,2))</f>
        <v>0.0</v>
      </c>
      <c r="AB267" s="31">
        <f>ROUND(R266*AB$5/1200,2)</f>
        <v>0.0</v>
      </c>
      <c r="AC267" s="31">
        <f>ROUND(S266*AC$5/1200,2)</f>
        <v>0.0</v>
      </c>
      <c r="AD267" s="31">
        <f>ROUND(T266*AD$5/1200,2)</f>
        <v>0.0</v>
      </c>
      <c r="AE267" s="31">
        <f>ROUND(U266*AE$5/1200,2)</f>
        <v>0.0</v>
      </c>
      <c r="AF267" s="31">
        <f>ROUND(V266*AF$5/1200,2)</f>
        <v>0.0</v>
      </c>
      <c r="AG267" s="31">
        <f>ROUND(W266*AG$5/1200,2)</f>
        <v>0.0</v>
      </c>
      <c r="AH267" s="31">
        <f>ROUND(X266*AH$5/1200,2)</f>
        <v>0.0</v>
      </c>
      <c r="AI267" s="31">
        <f>ROUND(Y266*AI$5/1200,2)</f>
        <v>0.0</v>
      </c>
      <c r="AJ267" s="31">
        <f>ROUND(Z266*AJ$5/1200,2)</f>
        <v>0.0</v>
      </c>
      <c r="AK267" s="31">
        <f>ROUND(AA266*AK$5/1200,2)</f>
        <v>0.0</v>
      </c>
      <c r="AL267" s="31">
        <f>MIN(AL$5,R266+AB267)</f>
        <v>0.0</v>
      </c>
      <c r="AM267" s="31">
        <f>MIN(AM$5,S266+AC267)</f>
        <v>0.0</v>
      </c>
      <c r="AN267" s="31">
        <f>MIN(AN$5,T266+AD267)</f>
        <v>0.0</v>
      </c>
      <c r="AO267" s="31">
        <f>MIN(AO$5,U266+AE267)</f>
        <v>0.0</v>
      </c>
      <c r="AP267" s="31">
        <f>MIN(AP$5,V266+AF267)</f>
        <v>0.0</v>
      </c>
      <c r="AQ267" s="31">
        <f>MIN(AQ$5,W266+AG267)</f>
        <v>0.0</v>
      </c>
      <c r="AR267" s="31">
        <f>MIN(AR$5,X266+AH267)</f>
        <v>0.0</v>
      </c>
      <c r="AS267" s="31">
        <f>MIN(AS$5,Y266+AI267)</f>
        <v>0.0</v>
      </c>
      <c r="AT267" s="31">
        <f>MIN(AT$5,Z266+AJ267)</f>
        <v>0.0</v>
      </c>
      <c r="AU267" s="31">
        <f>MIN(AU$5,AA266+AK267)</f>
        <v>0.0</v>
      </c>
    </row>
    <row r="268">
      <c r="A268" s="25" t="str">
        <f>IF(F267&gt;0.005,263,"")</f>
        <v/>
      </c>
      <c r="B268" s="33" t="str">
        <f>IF(A268="","",EDATE(Долги!$D$5,262))</f>
        <v/>
      </c>
      <c r="C268" s="31">
        <f>SUM(H268:Q268)</f>
        <v>0.0</v>
      </c>
      <c r="D268" s="31">
        <f>SUM(AB268:AK268)</f>
        <v>0.0</v>
      </c>
      <c r="E268" s="31">
        <f>C268-D268</f>
        <v>0.0</v>
      </c>
      <c r="F268" s="31">
        <f>SUM(R268:AA268)</f>
        <v>0.0</v>
      </c>
      <c r="G268" s="34" t="str">
        <f>IF(OR(A268="",$F$5&lt;=0),"",REPT("█",ROUND(20*F268/$F$5,0)))</f>
        <v/>
      </c>
      <c r="H268" s="31">
        <f>AL268+MIN(R267+AB268-AL268,MAX(0,ROUND(Долги!$D$19-SUM($AL268:$AU268),2)))</f>
        <v>0.0</v>
      </c>
      <c r="I268" s="31">
        <f>AM268+MIN(S267+AC268-AM268,MAX(0,ROUND(ROUND(Долги!$D$19-SUM($AL268:$AU268),2)-(SUM($H268:H268)-SUM($AL268:AL268)),2)))</f>
        <v>0.0</v>
      </c>
      <c r="J268" s="31">
        <f>AN268+MIN(T267+AD268-AN268,MAX(0,ROUND(ROUND(Долги!$D$19-SUM($AL268:$AU268),2)-(SUM($H268:I268)-SUM($AL268:AM268)),2)))</f>
        <v>0.0</v>
      </c>
      <c r="K268" s="31">
        <f>AO268+MIN(U267+AE268-AO268,MAX(0,ROUND(ROUND(Долги!$D$19-SUM($AL268:$AU268),2)-(SUM($H268:J268)-SUM($AL268:AN268)),2)))</f>
        <v>0.0</v>
      </c>
      <c r="L268" s="31">
        <f>AP268+MIN(V267+AF268-AP268,MAX(0,ROUND(ROUND(Долги!$D$19-SUM($AL268:$AU268),2)-(SUM($H268:K268)-SUM($AL268:AO268)),2)))</f>
        <v>0.0</v>
      </c>
      <c r="M268" s="31">
        <f>AQ268+MIN(W267+AG268-AQ268,MAX(0,ROUND(ROUND(Долги!$D$19-SUM($AL268:$AU268),2)-(SUM($H268:L268)-SUM($AL268:AP268)),2)))</f>
        <v>0.0</v>
      </c>
      <c r="N268" s="31">
        <f>AR268+MIN(X267+AH268-AR268,MAX(0,ROUND(ROUND(Долги!$D$19-SUM($AL268:$AU268),2)-(SUM($H268:M268)-SUM($AL268:AQ268)),2)))</f>
        <v>0.0</v>
      </c>
      <c r="O268" s="31">
        <f>AS268+MIN(Y267+AI268-AS268,MAX(0,ROUND(ROUND(Долги!$D$19-SUM($AL268:$AU268),2)-(SUM($H268:N268)-SUM($AL268:AR268)),2)))</f>
        <v>0.0</v>
      </c>
      <c r="P268" s="31">
        <f>AT268+MIN(Z267+AJ268-AT268,MAX(0,ROUND(ROUND(Долги!$D$19-SUM($AL268:$AU268),2)-(SUM($H268:O268)-SUM($AL268:AS268)),2)))</f>
        <v>0.0</v>
      </c>
      <c r="Q268" s="31">
        <f>AU268+MIN(AA267+AK268-AU268,MAX(0,ROUND(ROUND(Долги!$D$19-SUM($AL268:$AU268),2)-(SUM($H268:P268)-SUM($AL268:AT268)),2)))</f>
        <v>0.0</v>
      </c>
      <c r="R268" s="31">
        <f>IF(R267+AB268-H268&lt;=0.01,0,ROUND(R267+AB268-H268,2))</f>
        <v>0.0</v>
      </c>
      <c r="S268" s="31">
        <f>IF(S267+AC268-I268&lt;=0.01,0,ROUND(S267+AC268-I268,2))</f>
        <v>0.0</v>
      </c>
      <c r="T268" s="31">
        <f>IF(T267+AD268-J268&lt;=0.01,0,ROUND(T267+AD268-J268,2))</f>
        <v>0.0</v>
      </c>
      <c r="U268" s="31">
        <f>IF(U267+AE268-K268&lt;=0.01,0,ROUND(U267+AE268-K268,2))</f>
        <v>0.0</v>
      </c>
      <c r="V268" s="31">
        <f>IF(V267+AF268-L268&lt;=0.01,0,ROUND(V267+AF268-L268,2))</f>
        <v>0.0</v>
      </c>
      <c r="W268" s="31">
        <f>IF(W267+AG268-M268&lt;=0.01,0,ROUND(W267+AG268-M268,2))</f>
        <v>0.0</v>
      </c>
      <c r="X268" s="31">
        <f>IF(X267+AH268-N268&lt;=0.01,0,ROUND(X267+AH268-N268,2))</f>
        <v>0.0</v>
      </c>
      <c r="Y268" s="31">
        <f>IF(Y267+AI268-O268&lt;=0.01,0,ROUND(Y267+AI268-O268,2))</f>
        <v>0.0</v>
      </c>
      <c r="Z268" s="31">
        <f>IF(Z267+AJ268-P268&lt;=0.01,0,ROUND(Z267+AJ268-P268,2))</f>
        <v>0.0</v>
      </c>
      <c r="AA268" s="31">
        <f>IF(AA267+AK268-Q268&lt;=0.01,0,ROUND(AA267+AK268-Q268,2))</f>
        <v>0.0</v>
      </c>
      <c r="AB268" s="31">
        <f>ROUND(R267*AB$5/1200,2)</f>
        <v>0.0</v>
      </c>
      <c r="AC268" s="31">
        <f>ROUND(S267*AC$5/1200,2)</f>
        <v>0.0</v>
      </c>
      <c r="AD268" s="31">
        <f>ROUND(T267*AD$5/1200,2)</f>
        <v>0.0</v>
      </c>
      <c r="AE268" s="31">
        <f>ROUND(U267*AE$5/1200,2)</f>
        <v>0.0</v>
      </c>
      <c r="AF268" s="31">
        <f>ROUND(V267*AF$5/1200,2)</f>
        <v>0.0</v>
      </c>
      <c r="AG268" s="31">
        <f>ROUND(W267*AG$5/1200,2)</f>
        <v>0.0</v>
      </c>
      <c r="AH268" s="31">
        <f>ROUND(X267*AH$5/1200,2)</f>
        <v>0.0</v>
      </c>
      <c r="AI268" s="31">
        <f>ROUND(Y267*AI$5/1200,2)</f>
        <v>0.0</v>
      </c>
      <c r="AJ268" s="31">
        <f>ROUND(Z267*AJ$5/1200,2)</f>
        <v>0.0</v>
      </c>
      <c r="AK268" s="31">
        <f>ROUND(AA267*AK$5/1200,2)</f>
        <v>0.0</v>
      </c>
      <c r="AL268" s="31">
        <f>MIN(AL$5,R267+AB268)</f>
        <v>0.0</v>
      </c>
      <c r="AM268" s="31">
        <f>MIN(AM$5,S267+AC268)</f>
        <v>0.0</v>
      </c>
      <c r="AN268" s="31">
        <f>MIN(AN$5,T267+AD268)</f>
        <v>0.0</v>
      </c>
      <c r="AO268" s="31">
        <f>MIN(AO$5,U267+AE268)</f>
        <v>0.0</v>
      </c>
      <c r="AP268" s="31">
        <f>MIN(AP$5,V267+AF268)</f>
        <v>0.0</v>
      </c>
      <c r="AQ268" s="31">
        <f>MIN(AQ$5,W267+AG268)</f>
        <v>0.0</v>
      </c>
      <c r="AR268" s="31">
        <f>MIN(AR$5,X267+AH268)</f>
        <v>0.0</v>
      </c>
      <c r="AS268" s="31">
        <f>MIN(AS$5,Y267+AI268)</f>
        <v>0.0</v>
      </c>
      <c r="AT268" s="31">
        <f>MIN(AT$5,Z267+AJ268)</f>
        <v>0.0</v>
      </c>
      <c r="AU268" s="31">
        <f>MIN(AU$5,AA267+AK268)</f>
        <v>0.0</v>
      </c>
    </row>
    <row r="269">
      <c r="A269" s="25" t="str">
        <f>IF(F268&gt;0.005,264,"")</f>
        <v/>
      </c>
      <c r="B269" s="33" t="str">
        <f>IF(A269="","",EDATE(Долги!$D$5,263))</f>
        <v/>
      </c>
      <c r="C269" s="31">
        <f>SUM(H269:Q269)</f>
        <v>0.0</v>
      </c>
      <c r="D269" s="31">
        <f>SUM(AB269:AK269)</f>
        <v>0.0</v>
      </c>
      <c r="E269" s="31">
        <f>C269-D269</f>
        <v>0.0</v>
      </c>
      <c r="F269" s="31">
        <f>SUM(R269:AA269)</f>
        <v>0.0</v>
      </c>
      <c r="G269" s="34" t="str">
        <f>IF(OR(A269="",$F$5&lt;=0),"",REPT("█",ROUND(20*F269/$F$5,0)))</f>
        <v/>
      </c>
      <c r="H269" s="31">
        <f>AL269+MIN(R268+AB269-AL269,MAX(0,ROUND(Долги!$D$19-SUM($AL269:$AU269),2)))</f>
        <v>0.0</v>
      </c>
      <c r="I269" s="31">
        <f>AM269+MIN(S268+AC269-AM269,MAX(0,ROUND(ROUND(Долги!$D$19-SUM($AL269:$AU269),2)-(SUM($H269:H269)-SUM($AL269:AL269)),2)))</f>
        <v>0.0</v>
      </c>
      <c r="J269" s="31">
        <f>AN269+MIN(T268+AD269-AN269,MAX(0,ROUND(ROUND(Долги!$D$19-SUM($AL269:$AU269),2)-(SUM($H269:I269)-SUM($AL269:AM269)),2)))</f>
        <v>0.0</v>
      </c>
      <c r="K269" s="31">
        <f>AO269+MIN(U268+AE269-AO269,MAX(0,ROUND(ROUND(Долги!$D$19-SUM($AL269:$AU269),2)-(SUM($H269:J269)-SUM($AL269:AN269)),2)))</f>
        <v>0.0</v>
      </c>
      <c r="L269" s="31">
        <f>AP269+MIN(V268+AF269-AP269,MAX(0,ROUND(ROUND(Долги!$D$19-SUM($AL269:$AU269),2)-(SUM($H269:K269)-SUM($AL269:AO269)),2)))</f>
        <v>0.0</v>
      </c>
      <c r="M269" s="31">
        <f>AQ269+MIN(W268+AG269-AQ269,MAX(0,ROUND(ROUND(Долги!$D$19-SUM($AL269:$AU269),2)-(SUM($H269:L269)-SUM($AL269:AP269)),2)))</f>
        <v>0.0</v>
      </c>
      <c r="N269" s="31">
        <f>AR269+MIN(X268+AH269-AR269,MAX(0,ROUND(ROUND(Долги!$D$19-SUM($AL269:$AU269),2)-(SUM($H269:M269)-SUM($AL269:AQ269)),2)))</f>
        <v>0.0</v>
      </c>
      <c r="O269" s="31">
        <f>AS269+MIN(Y268+AI269-AS269,MAX(0,ROUND(ROUND(Долги!$D$19-SUM($AL269:$AU269),2)-(SUM($H269:N269)-SUM($AL269:AR269)),2)))</f>
        <v>0.0</v>
      </c>
      <c r="P269" s="31">
        <f>AT269+MIN(Z268+AJ269-AT269,MAX(0,ROUND(ROUND(Долги!$D$19-SUM($AL269:$AU269),2)-(SUM($H269:O269)-SUM($AL269:AS269)),2)))</f>
        <v>0.0</v>
      </c>
      <c r="Q269" s="31">
        <f>AU269+MIN(AA268+AK269-AU269,MAX(0,ROUND(ROUND(Долги!$D$19-SUM($AL269:$AU269),2)-(SUM($H269:P269)-SUM($AL269:AT269)),2)))</f>
        <v>0.0</v>
      </c>
      <c r="R269" s="31">
        <f>IF(R268+AB269-H269&lt;=0.01,0,ROUND(R268+AB269-H269,2))</f>
        <v>0.0</v>
      </c>
      <c r="S269" s="31">
        <f>IF(S268+AC269-I269&lt;=0.01,0,ROUND(S268+AC269-I269,2))</f>
        <v>0.0</v>
      </c>
      <c r="T269" s="31">
        <f>IF(T268+AD269-J269&lt;=0.01,0,ROUND(T268+AD269-J269,2))</f>
        <v>0.0</v>
      </c>
      <c r="U269" s="31">
        <f>IF(U268+AE269-K269&lt;=0.01,0,ROUND(U268+AE269-K269,2))</f>
        <v>0.0</v>
      </c>
      <c r="V269" s="31">
        <f>IF(V268+AF269-L269&lt;=0.01,0,ROUND(V268+AF269-L269,2))</f>
        <v>0.0</v>
      </c>
      <c r="W269" s="31">
        <f>IF(W268+AG269-M269&lt;=0.01,0,ROUND(W268+AG269-M269,2))</f>
        <v>0.0</v>
      </c>
      <c r="X269" s="31">
        <f>IF(X268+AH269-N269&lt;=0.01,0,ROUND(X268+AH269-N269,2))</f>
        <v>0.0</v>
      </c>
      <c r="Y269" s="31">
        <f>IF(Y268+AI269-O269&lt;=0.01,0,ROUND(Y268+AI269-O269,2))</f>
        <v>0.0</v>
      </c>
      <c r="Z269" s="31">
        <f>IF(Z268+AJ269-P269&lt;=0.01,0,ROUND(Z268+AJ269-P269,2))</f>
        <v>0.0</v>
      </c>
      <c r="AA269" s="31">
        <f>IF(AA268+AK269-Q269&lt;=0.01,0,ROUND(AA268+AK269-Q269,2))</f>
        <v>0.0</v>
      </c>
      <c r="AB269" s="31">
        <f>ROUND(R268*AB$5/1200,2)</f>
        <v>0.0</v>
      </c>
      <c r="AC269" s="31">
        <f>ROUND(S268*AC$5/1200,2)</f>
        <v>0.0</v>
      </c>
      <c r="AD269" s="31">
        <f>ROUND(T268*AD$5/1200,2)</f>
        <v>0.0</v>
      </c>
      <c r="AE269" s="31">
        <f>ROUND(U268*AE$5/1200,2)</f>
        <v>0.0</v>
      </c>
      <c r="AF269" s="31">
        <f>ROUND(V268*AF$5/1200,2)</f>
        <v>0.0</v>
      </c>
      <c r="AG269" s="31">
        <f>ROUND(W268*AG$5/1200,2)</f>
        <v>0.0</v>
      </c>
      <c r="AH269" s="31">
        <f>ROUND(X268*AH$5/1200,2)</f>
        <v>0.0</v>
      </c>
      <c r="AI269" s="31">
        <f>ROUND(Y268*AI$5/1200,2)</f>
        <v>0.0</v>
      </c>
      <c r="AJ269" s="31">
        <f>ROUND(Z268*AJ$5/1200,2)</f>
        <v>0.0</v>
      </c>
      <c r="AK269" s="31">
        <f>ROUND(AA268*AK$5/1200,2)</f>
        <v>0.0</v>
      </c>
      <c r="AL269" s="31">
        <f>MIN(AL$5,R268+AB269)</f>
        <v>0.0</v>
      </c>
      <c r="AM269" s="31">
        <f>MIN(AM$5,S268+AC269)</f>
        <v>0.0</v>
      </c>
      <c r="AN269" s="31">
        <f>MIN(AN$5,T268+AD269)</f>
        <v>0.0</v>
      </c>
      <c r="AO269" s="31">
        <f>MIN(AO$5,U268+AE269)</f>
        <v>0.0</v>
      </c>
      <c r="AP269" s="31">
        <f>MIN(AP$5,V268+AF269)</f>
        <v>0.0</v>
      </c>
      <c r="AQ269" s="31">
        <f>MIN(AQ$5,W268+AG269)</f>
        <v>0.0</v>
      </c>
      <c r="AR269" s="31">
        <f>MIN(AR$5,X268+AH269)</f>
        <v>0.0</v>
      </c>
      <c r="AS269" s="31">
        <f>MIN(AS$5,Y268+AI269)</f>
        <v>0.0</v>
      </c>
      <c r="AT269" s="31">
        <f>MIN(AT$5,Z268+AJ269)</f>
        <v>0.0</v>
      </c>
      <c r="AU269" s="31">
        <f>MIN(AU$5,AA268+AK269)</f>
        <v>0.0</v>
      </c>
    </row>
    <row r="270">
      <c r="A270" s="25" t="str">
        <f>IF(F269&gt;0.005,265,"")</f>
        <v/>
      </c>
      <c r="B270" s="33" t="str">
        <f>IF(A270="","",EDATE(Долги!$D$5,264))</f>
        <v/>
      </c>
      <c r="C270" s="31">
        <f>SUM(H270:Q270)</f>
        <v>0.0</v>
      </c>
      <c r="D270" s="31">
        <f>SUM(AB270:AK270)</f>
        <v>0.0</v>
      </c>
      <c r="E270" s="31">
        <f>C270-D270</f>
        <v>0.0</v>
      </c>
      <c r="F270" s="31">
        <f>SUM(R270:AA270)</f>
        <v>0.0</v>
      </c>
      <c r="G270" s="34" t="str">
        <f>IF(OR(A270="",$F$5&lt;=0),"",REPT("█",ROUND(20*F270/$F$5,0)))</f>
        <v/>
      </c>
      <c r="H270" s="31">
        <f>AL270+MIN(R269+AB270-AL270,MAX(0,ROUND(Долги!$D$19-SUM($AL270:$AU270),2)))</f>
        <v>0.0</v>
      </c>
      <c r="I270" s="31">
        <f>AM270+MIN(S269+AC270-AM270,MAX(0,ROUND(ROUND(Долги!$D$19-SUM($AL270:$AU270),2)-(SUM($H270:H270)-SUM($AL270:AL270)),2)))</f>
        <v>0.0</v>
      </c>
      <c r="J270" s="31">
        <f>AN270+MIN(T269+AD270-AN270,MAX(0,ROUND(ROUND(Долги!$D$19-SUM($AL270:$AU270),2)-(SUM($H270:I270)-SUM($AL270:AM270)),2)))</f>
        <v>0.0</v>
      </c>
      <c r="K270" s="31">
        <f>AO270+MIN(U269+AE270-AO270,MAX(0,ROUND(ROUND(Долги!$D$19-SUM($AL270:$AU270),2)-(SUM($H270:J270)-SUM($AL270:AN270)),2)))</f>
        <v>0.0</v>
      </c>
      <c r="L270" s="31">
        <f>AP270+MIN(V269+AF270-AP270,MAX(0,ROUND(ROUND(Долги!$D$19-SUM($AL270:$AU270),2)-(SUM($H270:K270)-SUM($AL270:AO270)),2)))</f>
        <v>0.0</v>
      </c>
      <c r="M270" s="31">
        <f>AQ270+MIN(W269+AG270-AQ270,MAX(0,ROUND(ROUND(Долги!$D$19-SUM($AL270:$AU270),2)-(SUM($H270:L270)-SUM($AL270:AP270)),2)))</f>
        <v>0.0</v>
      </c>
      <c r="N270" s="31">
        <f>AR270+MIN(X269+AH270-AR270,MAX(0,ROUND(ROUND(Долги!$D$19-SUM($AL270:$AU270),2)-(SUM($H270:M270)-SUM($AL270:AQ270)),2)))</f>
        <v>0.0</v>
      </c>
      <c r="O270" s="31">
        <f>AS270+MIN(Y269+AI270-AS270,MAX(0,ROUND(ROUND(Долги!$D$19-SUM($AL270:$AU270),2)-(SUM($H270:N270)-SUM($AL270:AR270)),2)))</f>
        <v>0.0</v>
      </c>
      <c r="P270" s="31">
        <f>AT270+MIN(Z269+AJ270-AT270,MAX(0,ROUND(ROUND(Долги!$D$19-SUM($AL270:$AU270),2)-(SUM($H270:O270)-SUM($AL270:AS270)),2)))</f>
        <v>0.0</v>
      </c>
      <c r="Q270" s="31">
        <f>AU270+MIN(AA269+AK270-AU270,MAX(0,ROUND(ROUND(Долги!$D$19-SUM($AL270:$AU270),2)-(SUM($H270:P270)-SUM($AL270:AT270)),2)))</f>
        <v>0.0</v>
      </c>
      <c r="R270" s="31">
        <f>IF(R269+AB270-H270&lt;=0.01,0,ROUND(R269+AB270-H270,2))</f>
        <v>0.0</v>
      </c>
      <c r="S270" s="31">
        <f>IF(S269+AC270-I270&lt;=0.01,0,ROUND(S269+AC270-I270,2))</f>
        <v>0.0</v>
      </c>
      <c r="T270" s="31">
        <f>IF(T269+AD270-J270&lt;=0.01,0,ROUND(T269+AD270-J270,2))</f>
        <v>0.0</v>
      </c>
      <c r="U270" s="31">
        <f>IF(U269+AE270-K270&lt;=0.01,0,ROUND(U269+AE270-K270,2))</f>
        <v>0.0</v>
      </c>
      <c r="V270" s="31">
        <f>IF(V269+AF270-L270&lt;=0.01,0,ROUND(V269+AF270-L270,2))</f>
        <v>0.0</v>
      </c>
      <c r="W270" s="31">
        <f>IF(W269+AG270-M270&lt;=0.01,0,ROUND(W269+AG270-M270,2))</f>
        <v>0.0</v>
      </c>
      <c r="X270" s="31">
        <f>IF(X269+AH270-N270&lt;=0.01,0,ROUND(X269+AH270-N270,2))</f>
        <v>0.0</v>
      </c>
      <c r="Y270" s="31">
        <f>IF(Y269+AI270-O270&lt;=0.01,0,ROUND(Y269+AI270-O270,2))</f>
        <v>0.0</v>
      </c>
      <c r="Z270" s="31">
        <f>IF(Z269+AJ270-P270&lt;=0.01,0,ROUND(Z269+AJ270-P270,2))</f>
        <v>0.0</v>
      </c>
      <c r="AA270" s="31">
        <f>IF(AA269+AK270-Q270&lt;=0.01,0,ROUND(AA269+AK270-Q270,2))</f>
        <v>0.0</v>
      </c>
      <c r="AB270" s="31">
        <f>ROUND(R269*AB$5/1200,2)</f>
        <v>0.0</v>
      </c>
      <c r="AC270" s="31">
        <f>ROUND(S269*AC$5/1200,2)</f>
        <v>0.0</v>
      </c>
      <c r="AD270" s="31">
        <f>ROUND(T269*AD$5/1200,2)</f>
        <v>0.0</v>
      </c>
      <c r="AE270" s="31">
        <f>ROUND(U269*AE$5/1200,2)</f>
        <v>0.0</v>
      </c>
      <c r="AF270" s="31">
        <f>ROUND(V269*AF$5/1200,2)</f>
        <v>0.0</v>
      </c>
      <c r="AG270" s="31">
        <f>ROUND(W269*AG$5/1200,2)</f>
        <v>0.0</v>
      </c>
      <c r="AH270" s="31">
        <f>ROUND(X269*AH$5/1200,2)</f>
        <v>0.0</v>
      </c>
      <c r="AI270" s="31">
        <f>ROUND(Y269*AI$5/1200,2)</f>
        <v>0.0</v>
      </c>
      <c r="AJ270" s="31">
        <f>ROUND(Z269*AJ$5/1200,2)</f>
        <v>0.0</v>
      </c>
      <c r="AK270" s="31">
        <f>ROUND(AA269*AK$5/1200,2)</f>
        <v>0.0</v>
      </c>
      <c r="AL270" s="31">
        <f>MIN(AL$5,R269+AB270)</f>
        <v>0.0</v>
      </c>
      <c r="AM270" s="31">
        <f>MIN(AM$5,S269+AC270)</f>
        <v>0.0</v>
      </c>
      <c r="AN270" s="31">
        <f>MIN(AN$5,T269+AD270)</f>
        <v>0.0</v>
      </c>
      <c r="AO270" s="31">
        <f>MIN(AO$5,U269+AE270)</f>
        <v>0.0</v>
      </c>
      <c r="AP270" s="31">
        <f>MIN(AP$5,V269+AF270)</f>
        <v>0.0</v>
      </c>
      <c r="AQ270" s="31">
        <f>MIN(AQ$5,W269+AG270)</f>
        <v>0.0</v>
      </c>
      <c r="AR270" s="31">
        <f>MIN(AR$5,X269+AH270)</f>
        <v>0.0</v>
      </c>
      <c r="AS270" s="31">
        <f>MIN(AS$5,Y269+AI270)</f>
        <v>0.0</v>
      </c>
      <c r="AT270" s="31">
        <f>MIN(AT$5,Z269+AJ270)</f>
        <v>0.0</v>
      </c>
      <c r="AU270" s="31">
        <f>MIN(AU$5,AA269+AK270)</f>
        <v>0.0</v>
      </c>
    </row>
    <row r="271">
      <c r="A271" s="25" t="str">
        <f>IF(F270&gt;0.005,266,"")</f>
        <v/>
      </c>
      <c r="B271" s="33" t="str">
        <f>IF(A271="","",EDATE(Долги!$D$5,265))</f>
        <v/>
      </c>
      <c r="C271" s="31">
        <f>SUM(H271:Q271)</f>
        <v>0.0</v>
      </c>
      <c r="D271" s="31">
        <f>SUM(AB271:AK271)</f>
        <v>0.0</v>
      </c>
      <c r="E271" s="31">
        <f>C271-D271</f>
        <v>0.0</v>
      </c>
      <c r="F271" s="31">
        <f>SUM(R271:AA271)</f>
        <v>0.0</v>
      </c>
      <c r="G271" s="34" t="str">
        <f>IF(OR(A271="",$F$5&lt;=0),"",REPT("█",ROUND(20*F271/$F$5,0)))</f>
        <v/>
      </c>
      <c r="H271" s="31">
        <f>AL271+MIN(R270+AB271-AL271,MAX(0,ROUND(Долги!$D$19-SUM($AL271:$AU271),2)))</f>
        <v>0.0</v>
      </c>
      <c r="I271" s="31">
        <f>AM271+MIN(S270+AC271-AM271,MAX(0,ROUND(ROUND(Долги!$D$19-SUM($AL271:$AU271),2)-(SUM($H271:H271)-SUM($AL271:AL271)),2)))</f>
        <v>0.0</v>
      </c>
      <c r="J271" s="31">
        <f>AN271+MIN(T270+AD271-AN271,MAX(0,ROUND(ROUND(Долги!$D$19-SUM($AL271:$AU271),2)-(SUM($H271:I271)-SUM($AL271:AM271)),2)))</f>
        <v>0.0</v>
      </c>
      <c r="K271" s="31">
        <f>AO271+MIN(U270+AE271-AO271,MAX(0,ROUND(ROUND(Долги!$D$19-SUM($AL271:$AU271),2)-(SUM($H271:J271)-SUM($AL271:AN271)),2)))</f>
        <v>0.0</v>
      </c>
      <c r="L271" s="31">
        <f>AP271+MIN(V270+AF271-AP271,MAX(0,ROUND(ROUND(Долги!$D$19-SUM($AL271:$AU271),2)-(SUM($H271:K271)-SUM($AL271:AO271)),2)))</f>
        <v>0.0</v>
      </c>
      <c r="M271" s="31">
        <f>AQ271+MIN(W270+AG271-AQ271,MAX(0,ROUND(ROUND(Долги!$D$19-SUM($AL271:$AU271),2)-(SUM($H271:L271)-SUM($AL271:AP271)),2)))</f>
        <v>0.0</v>
      </c>
      <c r="N271" s="31">
        <f>AR271+MIN(X270+AH271-AR271,MAX(0,ROUND(ROUND(Долги!$D$19-SUM($AL271:$AU271),2)-(SUM($H271:M271)-SUM($AL271:AQ271)),2)))</f>
        <v>0.0</v>
      </c>
      <c r="O271" s="31">
        <f>AS271+MIN(Y270+AI271-AS271,MAX(0,ROUND(ROUND(Долги!$D$19-SUM($AL271:$AU271),2)-(SUM($H271:N271)-SUM($AL271:AR271)),2)))</f>
        <v>0.0</v>
      </c>
      <c r="P271" s="31">
        <f>AT271+MIN(Z270+AJ271-AT271,MAX(0,ROUND(ROUND(Долги!$D$19-SUM($AL271:$AU271),2)-(SUM($H271:O271)-SUM($AL271:AS271)),2)))</f>
        <v>0.0</v>
      </c>
      <c r="Q271" s="31">
        <f>AU271+MIN(AA270+AK271-AU271,MAX(0,ROUND(ROUND(Долги!$D$19-SUM($AL271:$AU271),2)-(SUM($H271:P271)-SUM($AL271:AT271)),2)))</f>
        <v>0.0</v>
      </c>
      <c r="R271" s="31">
        <f>IF(R270+AB271-H271&lt;=0.01,0,ROUND(R270+AB271-H271,2))</f>
        <v>0.0</v>
      </c>
      <c r="S271" s="31">
        <f>IF(S270+AC271-I271&lt;=0.01,0,ROUND(S270+AC271-I271,2))</f>
        <v>0.0</v>
      </c>
      <c r="T271" s="31">
        <f>IF(T270+AD271-J271&lt;=0.01,0,ROUND(T270+AD271-J271,2))</f>
        <v>0.0</v>
      </c>
      <c r="U271" s="31">
        <f>IF(U270+AE271-K271&lt;=0.01,0,ROUND(U270+AE271-K271,2))</f>
        <v>0.0</v>
      </c>
      <c r="V271" s="31">
        <f>IF(V270+AF271-L271&lt;=0.01,0,ROUND(V270+AF271-L271,2))</f>
        <v>0.0</v>
      </c>
      <c r="W271" s="31">
        <f>IF(W270+AG271-M271&lt;=0.01,0,ROUND(W270+AG271-M271,2))</f>
        <v>0.0</v>
      </c>
      <c r="X271" s="31">
        <f>IF(X270+AH271-N271&lt;=0.01,0,ROUND(X270+AH271-N271,2))</f>
        <v>0.0</v>
      </c>
      <c r="Y271" s="31">
        <f>IF(Y270+AI271-O271&lt;=0.01,0,ROUND(Y270+AI271-O271,2))</f>
        <v>0.0</v>
      </c>
      <c r="Z271" s="31">
        <f>IF(Z270+AJ271-P271&lt;=0.01,0,ROUND(Z270+AJ271-P271,2))</f>
        <v>0.0</v>
      </c>
      <c r="AA271" s="31">
        <f>IF(AA270+AK271-Q271&lt;=0.01,0,ROUND(AA270+AK271-Q271,2))</f>
        <v>0.0</v>
      </c>
      <c r="AB271" s="31">
        <f>ROUND(R270*AB$5/1200,2)</f>
        <v>0.0</v>
      </c>
      <c r="AC271" s="31">
        <f>ROUND(S270*AC$5/1200,2)</f>
        <v>0.0</v>
      </c>
      <c r="AD271" s="31">
        <f>ROUND(T270*AD$5/1200,2)</f>
        <v>0.0</v>
      </c>
      <c r="AE271" s="31">
        <f>ROUND(U270*AE$5/1200,2)</f>
        <v>0.0</v>
      </c>
      <c r="AF271" s="31">
        <f>ROUND(V270*AF$5/1200,2)</f>
        <v>0.0</v>
      </c>
      <c r="AG271" s="31">
        <f>ROUND(W270*AG$5/1200,2)</f>
        <v>0.0</v>
      </c>
      <c r="AH271" s="31">
        <f>ROUND(X270*AH$5/1200,2)</f>
        <v>0.0</v>
      </c>
      <c r="AI271" s="31">
        <f>ROUND(Y270*AI$5/1200,2)</f>
        <v>0.0</v>
      </c>
      <c r="AJ271" s="31">
        <f>ROUND(Z270*AJ$5/1200,2)</f>
        <v>0.0</v>
      </c>
      <c r="AK271" s="31">
        <f>ROUND(AA270*AK$5/1200,2)</f>
        <v>0.0</v>
      </c>
      <c r="AL271" s="31">
        <f>MIN(AL$5,R270+AB271)</f>
        <v>0.0</v>
      </c>
      <c r="AM271" s="31">
        <f>MIN(AM$5,S270+AC271)</f>
        <v>0.0</v>
      </c>
      <c r="AN271" s="31">
        <f>MIN(AN$5,T270+AD271)</f>
        <v>0.0</v>
      </c>
      <c r="AO271" s="31">
        <f>MIN(AO$5,U270+AE271)</f>
        <v>0.0</v>
      </c>
      <c r="AP271" s="31">
        <f>MIN(AP$5,V270+AF271)</f>
        <v>0.0</v>
      </c>
      <c r="AQ271" s="31">
        <f>MIN(AQ$5,W270+AG271)</f>
        <v>0.0</v>
      </c>
      <c r="AR271" s="31">
        <f>MIN(AR$5,X270+AH271)</f>
        <v>0.0</v>
      </c>
      <c r="AS271" s="31">
        <f>MIN(AS$5,Y270+AI271)</f>
        <v>0.0</v>
      </c>
      <c r="AT271" s="31">
        <f>MIN(AT$5,Z270+AJ271)</f>
        <v>0.0</v>
      </c>
      <c r="AU271" s="31">
        <f>MIN(AU$5,AA270+AK271)</f>
        <v>0.0</v>
      </c>
    </row>
    <row r="272">
      <c r="A272" s="25" t="str">
        <f>IF(F271&gt;0.005,267,"")</f>
        <v/>
      </c>
      <c r="B272" s="33" t="str">
        <f>IF(A272="","",EDATE(Долги!$D$5,266))</f>
        <v/>
      </c>
      <c r="C272" s="31">
        <f>SUM(H272:Q272)</f>
        <v>0.0</v>
      </c>
      <c r="D272" s="31">
        <f>SUM(AB272:AK272)</f>
        <v>0.0</v>
      </c>
      <c r="E272" s="31">
        <f>C272-D272</f>
        <v>0.0</v>
      </c>
      <c r="F272" s="31">
        <f>SUM(R272:AA272)</f>
        <v>0.0</v>
      </c>
      <c r="G272" s="34" t="str">
        <f>IF(OR(A272="",$F$5&lt;=0),"",REPT("█",ROUND(20*F272/$F$5,0)))</f>
        <v/>
      </c>
      <c r="H272" s="31">
        <f>AL272+MIN(R271+AB272-AL272,MAX(0,ROUND(Долги!$D$19-SUM($AL272:$AU272),2)))</f>
        <v>0.0</v>
      </c>
      <c r="I272" s="31">
        <f>AM272+MIN(S271+AC272-AM272,MAX(0,ROUND(ROUND(Долги!$D$19-SUM($AL272:$AU272),2)-(SUM($H272:H272)-SUM($AL272:AL272)),2)))</f>
        <v>0.0</v>
      </c>
      <c r="J272" s="31">
        <f>AN272+MIN(T271+AD272-AN272,MAX(0,ROUND(ROUND(Долги!$D$19-SUM($AL272:$AU272),2)-(SUM($H272:I272)-SUM($AL272:AM272)),2)))</f>
        <v>0.0</v>
      </c>
      <c r="K272" s="31">
        <f>AO272+MIN(U271+AE272-AO272,MAX(0,ROUND(ROUND(Долги!$D$19-SUM($AL272:$AU272),2)-(SUM($H272:J272)-SUM($AL272:AN272)),2)))</f>
        <v>0.0</v>
      </c>
      <c r="L272" s="31">
        <f>AP272+MIN(V271+AF272-AP272,MAX(0,ROUND(ROUND(Долги!$D$19-SUM($AL272:$AU272),2)-(SUM($H272:K272)-SUM($AL272:AO272)),2)))</f>
        <v>0.0</v>
      </c>
      <c r="M272" s="31">
        <f>AQ272+MIN(W271+AG272-AQ272,MAX(0,ROUND(ROUND(Долги!$D$19-SUM($AL272:$AU272),2)-(SUM($H272:L272)-SUM($AL272:AP272)),2)))</f>
        <v>0.0</v>
      </c>
      <c r="N272" s="31">
        <f>AR272+MIN(X271+AH272-AR272,MAX(0,ROUND(ROUND(Долги!$D$19-SUM($AL272:$AU272),2)-(SUM($H272:M272)-SUM($AL272:AQ272)),2)))</f>
        <v>0.0</v>
      </c>
      <c r="O272" s="31">
        <f>AS272+MIN(Y271+AI272-AS272,MAX(0,ROUND(ROUND(Долги!$D$19-SUM($AL272:$AU272),2)-(SUM($H272:N272)-SUM($AL272:AR272)),2)))</f>
        <v>0.0</v>
      </c>
      <c r="P272" s="31">
        <f>AT272+MIN(Z271+AJ272-AT272,MAX(0,ROUND(ROUND(Долги!$D$19-SUM($AL272:$AU272),2)-(SUM($H272:O272)-SUM($AL272:AS272)),2)))</f>
        <v>0.0</v>
      </c>
      <c r="Q272" s="31">
        <f>AU272+MIN(AA271+AK272-AU272,MAX(0,ROUND(ROUND(Долги!$D$19-SUM($AL272:$AU272),2)-(SUM($H272:P272)-SUM($AL272:AT272)),2)))</f>
        <v>0.0</v>
      </c>
      <c r="R272" s="31">
        <f>IF(R271+AB272-H272&lt;=0.01,0,ROUND(R271+AB272-H272,2))</f>
        <v>0.0</v>
      </c>
      <c r="S272" s="31">
        <f>IF(S271+AC272-I272&lt;=0.01,0,ROUND(S271+AC272-I272,2))</f>
        <v>0.0</v>
      </c>
      <c r="T272" s="31">
        <f>IF(T271+AD272-J272&lt;=0.01,0,ROUND(T271+AD272-J272,2))</f>
        <v>0.0</v>
      </c>
      <c r="U272" s="31">
        <f>IF(U271+AE272-K272&lt;=0.01,0,ROUND(U271+AE272-K272,2))</f>
        <v>0.0</v>
      </c>
      <c r="V272" s="31">
        <f>IF(V271+AF272-L272&lt;=0.01,0,ROUND(V271+AF272-L272,2))</f>
        <v>0.0</v>
      </c>
      <c r="W272" s="31">
        <f>IF(W271+AG272-M272&lt;=0.01,0,ROUND(W271+AG272-M272,2))</f>
        <v>0.0</v>
      </c>
      <c r="X272" s="31">
        <f>IF(X271+AH272-N272&lt;=0.01,0,ROUND(X271+AH272-N272,2))</f>
        <v>0.0</v>
      </c>
      <c r="Y272" s="31">
        <f>IF(Y271+AI272-O272&lt;=0.01,0,ROUND(Y271+AI272-O272,2))</f>
        <v>0.0</v>
      </c>
      <c r="Z272" s="31">
        <f>IF(Z271+AJ272-P272&lt;=0.01,0,ROUND(Z271+AJ272-P272,2))</f>
        <v>0.0</v>
      </c>
      <c r="AA272" s="31">
        <f>IF(AA271+AK272-Q272&lt;=0.01,0,ROUND(AA271+AK272-Q272,2))</f>
        <v>0.0</v>
      </c>
      <c r="AB272" s="31">
        <f>ROUND(R271*AB$5/1200,2)</f>
        <v>0.0</v>
      </c>
      <c r="AC272" s="31">
        <f>ROUND(S271*AC$5/1200,2)</f>
        <v>0.0</v>
      </c>
      <c r="AD272" s="31">
        <f>ROUND(T271*AD$5/1200,2)</f>
        <v>0.0</v>
      </c>
      <c r="AE272" s="31">
        <f>ROUND(U271*AE$5/1200,2)</f>
        <v>0.0</v>
      </c>
      <c r="AF272" s="31">
        <f>ROUND(V271*AF$5/1200,2)</f>
        <v>0.0</v>
      </c>
      <c r="AG272" s="31">
        <f>ROUND(W271*AG$5/1200,2)</f>
        <v>0.0</v>
      </c>
      <c r="AH272" s="31">
        <f>ROUND(X271*AH$5/1200,2)</f>
        <v>0.0</v>
      </c>
      <c r="AI272" s="31">
        <f>ROUND(Y271*AI$5/1200,2)</f>
        <v>0.0</v>
      </c>
      <c r="AJ272" s="31">
        <f>ROUND(Z271*AJ$5/1200,2)</f>
        <v>0.0</v>
      </c>
      <c r="AK272" s="31">
        <f>ROUND(AA271*AK$5/1200,2)</f>
        <v>0.0</v>
      </c>
      <c r="AL272" s="31">
        <f>MIN(AL$5,R271+AB272)</f>
        <v>0.0</v>
      </c>
      <c r="AM272" s="31">
        <f>MIN(AM$5,S271+AC272)</f>
        <v>0.0</v>
      </c>
      <c r="AN272" s="31">
        <f>MIN(AN$5,T271+AD272)</f>
        <v>0.0</v>
      </c>
      <c r="AO272" s="31">
        <f>MIN(AO$5,U271+AE272)</f>
        <v>0.0</v>
      </c>
      <c r="AP272" s="31">
        <f>MIN(AP$5,V271+AF272)</f>
        <v>0.0</v>
      </c>
      <c r="AQ272" s="31">
        <f>MIN(AQ$5,W271+AG272)</f>
        <v>0.0</v>
      </c>
      <c r="AR272" s="31">
        <f>MIN(AR$5,X271+AH272)</f>
        <v>0.0</v>
      </c>
      <c r="AS272" s="31">
        <f>MIN(AS$5,Y271+AI272)</f>
        <v>0.0</v>
      </c>
      <c r="AT272" s="31">
        <f>MIN(AT$5,Z271+AJ272)</f>
        <v>0.0</v>
      </c>
      <c r="AU272" s="31">
        <f>MIN(AU$5,AA271+AK272)</f>
        <v>0.0</v>
      </c>
    </row>
    <row r="273">
      <c r="A273" s="25" t="str">
        <f>IF(F272&gt;0.005,268,"")</f>
        <v/>
      </c>
      <c r="B273" s="33" t="str">
        <f>IF(A273="","",EDATE(Долги!$D$5,267))</f>
        <v/>
      </c>
      <c r="C273" s="31">
        <f>SUM(H273:Q273)</f>
        <v>0.0</v>
      </c>
      <c r="D273" s="31">
        <f>SUM(AB273:AK273)</f>
        <v>0.0</v>
      </c>
      <c r="E273" s="31">
        <f>C273-D273</f>
        <v>0.0</v>
      </c>
      <c r="F273" s="31">
        <f>SUM(R273:AA273)</f>
        <v>0.0</v>
      </c>
      <c r="G273" s="34" t="str">
        <f>IF(OR(A273="",$F$5&lt;=0),"",REPT("█",ROUND(20*F273/$F$5,0)))</f>
        <v/>
      </c>
      <c r="H273" s="31">
        <f>AL273+MIN(R272+AB273-AL273,MAX(0,ROUND(Долги!$D$19-SUM($AL273:$AU273),2)))</f>
        <v>0.0</v>
      </c>
      <c r="I273" s="31">
        <f>AM273+MIN(S272+AC273-AM273,MAX(0,ROUND(ROUND(Долги!$D$19-SUM($AL273:$AU273),2)-(SUM($H273:H273)-SUM($AL273:AL273)),2)))</f>
        <v>0.0</v>
      </c>
      <c r="J273" s="31">
        <f>AN273+MIN(T272+AD273-AN273,MAX(0,ROUND(ROUND(Долги!$D$19-SUM($AL273:$AU273),2)-(SUM($H273:I273)-SUM($AL273:AM273)),2)))</f>
        <v>0.0</v>
      </c>
      <c r="K273" s="31">
        <f>AO273+MIN(U272+AE273-AO273,MAX(0,ROUND(ROUND(Долги!$D$19-SUM($AL273:$AU273),2)-(SUM($H273:J273)-SUM($AL273:AN273)),2)))</f>
        <v>0.0</v>
      </c>
      <c r="L273" s="31">
        <f>AP273+MIN(V272+AF273-AP273,MAX(0,ROUND(ROUND(Долги!$D$19-SUM($AL273:$AU273),2)-(SUM($H273:K273)-SUM($AL273:AO273)),2)))</f>
        <v>0.0</v>
      </c>
      <c r="M273" s="31">
        <f>AQ273+MIN(W272+AG273-AQ273,MAX(0,ROUND(ROUND(Долги!$D$19-SUM($AL273:$AU273),2)-(SUM($H273:L273)-SUM($AL273:AP273)),2)))</f>
        <v>0.0</v>
      </c>
      <c r="N273" s="31">
        <f>AR273+MIN(X272+AH273-AR273,MAX(0,ROUND(ROUND(Долги!$D$19-SUM($AL273:$AU273),2)-(SUM($H273:M273)-SUM($AL273:AQ273)),2)))</f>
        <v>0.0</v>
      </c>
      <c r="O273" s="31">
        <f>AS273+MIN(Y272+AI273-AS273,MAX(0,ROUND(ROUND(Долги!$D$19-SUM($AL273:$AU273),2)-(SUM($H273:N273)-SUM($AL273:AR273)),2)))</f>
        <v>0.0</v>
      </c>
      <c r="P273" s="31">
        <f>AT273+MIN(Z272+AJ273-AT273,MAX(0,ROUND(ROUND(Долги!$D$19-SUM($AL273:$AU273),2)-(SUM($H273:O273)-SUM($AL273:AS273)),2)))</f>
        <v>0.0</v>
      </c>
      <c r="Q273" s="31">
        <f>AU273+MIN(AA272+AK273-AU273,MAX(0,ROUND(ROUND(Долги!$D$19-SUM($AL273:$AU273),2)-(SUM($H273:P273)-SUM($AL273:AT273)),2)))</f>
        <v>0.0</v>
      </c>
      <c r="R273" s="31">
        <f>IF(R272+AB273-H273&lt;=0.01,0,ROUND(R272+AB273-H273,2))</f>
        <v>0.0</v>
      </c>
      <c r="S273" s="31">
        <f>IF(S272+AC273-I273&lt;=0.01,0,ROUND(S272+AC273-I273,2))</f>
        <v>0.0</v>
      </c>
      <c r="T273" s="31">
        <f>IF(T272+AD273-J273&lt;=0.01,0,ROUND(T272+AD273-J273,2))</f>
        <v>0.0</v>
      </c>
      <c r="U273" s="31">
        <f>IF(U272+AE273-K273&lt;=0.01,0,ROUND(U272+AE273-K273,2))</f>
        <v>0.0</v>
      </c>
      <c r="V273" s="31">
        <f>IF(V272+AF273-L273&lt;=0.01,0,ROUND(V272+AF273-L273,2))</f>
        <v>0.0</v>
      </c>
      <c r="W273" s="31">
        <f>IF(W272+AG273-M273&lt;=0.01,0,ROUND(W272+AG273-M273,2))</f>
        <v>0.0</v>
      </c>
      <c r="X273" s="31">
        <f>IF(X272+AH273-N273&lt;=0.01,0,ROUND(X272+AH273-N273,2))</f>
        <v>0.0</v>
      </c>
      <c r="Y273" s="31">
        <f>IF(Y272+AI273-O273&lt;=0.01,0,ROUND(Y272+AI273-O273,2))</f>
        <v>0.0</v>
      </c>
      <c r="Z273" s="31">
        <f>IF(Z272+AJ273-P273&lt;=0.01,0,ROUND(Z272+AJ273-P273,2))</f>
        <v>0.0</v>
      </c>
      <c r="AA273" s="31">
        <f>IF(AA272+AK273-Q273&lt;=0.01,0,ROUND(AA272+AK273-Q273,2))</f>
        <v>0.0</v>
      </c>
      <c r="AB273" s="31">
        <f>ROUND(R272*AB$5/1200,2)</f>
        <v>0.0</v>
      </c>
      <c r="AC273" s="31">
        <f>ROUND(S272*AC$5/1200,2)</f>
        <v>0.0</v>
      </c>
      <c r="AD273" s="31">
        <f>ROUND(T272*AD$5/1200,2)</f>
        <v>0.0</v>
      </c>
      <c r="AE273" s="31">
        <f>ROUND(U272*AE$5/1200,2)</f>
        <v>0.0</v>
      </c>
      <c r="AF273" s="31">
        <f>ROUND(V272*AF$5/1200,2)</f>
        <v>0.0</v>
      </c>
      <c r="AG273" s="31">
        <f>ROUND(W272*AG$5/1200,2)</f>
        <v>0.0</v>
      </c>
      <c r="AH273" s="31">
        <f>ROUND(X272*AH$5/1200,2)</f>
        <v>0.0</v>
      </c>
      <c r="AI273" s="31">
        <f>ROUND(Y272*AI$5/1200,2)</f>
        <v>0.0</v>
      </c>
      <c r="AJ273" s="31">
        <f>ROUND(Z272*AJ$5/1200,2)</f>
        <v>0.0</v>
      </c>
      <c r="AK273" s="31">
        <f>ROUND(AA272*AK$5/1200,2)</f>
        <v>0.0</v>
      </c>
      <c r="AL273" s="31">
        <f>MIN(AL$5,R272+AB273)</f>
        <v>0.0</v>
      </c>
      <c r="AM273" s="31">
        <f>MIN(AM$5,S272+AC273)</f>
        <v>0.0</v>
      </c>
      <c r="AN273" s="31">
        <f>MIN(AN$5,T272+AD273)</f>
        <v>0.0</v>
      </c>
      <c r="AO273" s="31">
        <f>MIN(AO$5,U272+AE273)</f>
        <v>0.0</v>
      </c>
      <c r="AP273" s="31">
        <f>MIN(AP$5,V272+AF273)</f>
        <v>0.0</v>
      </c>
      <c r="AQ273" s="31">
        <f>MIN(AQ$5,W272+AG273)</f>
        <v>0.0</v>
      </c>
      <c r="AR273" s="31">
        <f>MIN(AR$5,X272+AH273)</f>
        <v>0.0</v>
      </c>
      <c r="AS273" s="31">
        <f>MIN(AS$5,Y272+AI273)</f>
        <v>0.0</v>
      </c>
      <c r="AT273" s="31">
        <f>MIN(AT$5,Z272+AJ273)</f>
        <v>0.0</v>
      </c>
      <c r="AU273" s="31">
        <f>MIN(AU$5,AA272+AK273)</f>
        <v>0.0</v>
      </c>
    </row>
    <row r="274">
      <c r="A274" s="25" t="str">
        <f>IF(F273&gt;0.005,269,"")</f>
        <v/>
      </c>
      <c r="B274" s="33" t="str">
        <f>IF(A274="","",EDATE(Долги!$D$5,268))</f>
        <v/>
      </c>
      <c r="C274" s="31">
        <f>SUM(H274:Q274)</f>
        <v>0.0</v>
      </c>
      <c r="D274" s="31">
        <f>SUM(AB274:AK274)</f>
        <v>0.0</v>
      </c>
      <c r="E274" s="31">
        <f>C274-D274</f>
        <v>0.0</v>
      </c>
      <c r="F274" s="31">
        <f>SUM(R274:AA274)</f>
        <v>0.0</v>
      </c>
      <c r="G274" s="34" t="str">
        <f>IF(OR(A274="",$F$5&lt;=0),"",REPT("█",ROUND(20*F274/$F$5,0)))</f>
        <v/>
      </c>
      <c r="H274" s="31">
        <f>AL274+MIN(R273+AB274-AL274,MAX(0,ROUND(Долги!$D$19-SUM($AL274:$AU274),2)))</f>
        <v>0.0</v>
      </c>
      <c r="I274" s="31">
        <f>AM274+MIN(S273+AC274-AM274,MAX(0,ROUND(ROUND(Долги!$D$19-SUM($AL274:$AU274),2)-(SUM($H274:H274)-SUM($AL274:AL274)),2)))</f>
        <v>0.0</v>
      </c>
      <c r="J274" s="31">
        <f>AN274+MIN(T273+AD274-AN274,MAX(0,ROUND(ROUND(Долги!$D$19-SUM($AL274:$AU274),2)-(SUM($H274:I274)-SUM($AL274:AM274)),2)))</f>
        <v>0.0</v>
      </c>
      <c r="K274" s="31">
        <f>AO274+MIN(U273+AE274-AO274,MAX(0,ROUND(ROUND(Долги!$D$19-SUM($AL274:$AU274),2)-(SUM($H274:J274)-SUM($AL274:AN274)),2)))</f>
        <v>0.0</v>
      </c>
      <c r="L274" s="31">
        <f>AP274+MIN(V273+AF274-AP274,MAX(0,ROUND(ROUND(Долги!$D$19-SUM($AL274:$AU274),2)-(SUM($H274:K274)-SUM($AL274:AO274)),2)))</f>
        <v>0.0</v>
      </c>
      <c r="M274" s="31">
        <f>AQ274+MIN(W273+AG274-AQ274,MAX(0,ROUND(ROUND(Долги!$D$19-SUM($AL274:$AU274),2)-(SUM($H274:L274)-SUM($AL274:AP274)),2)))</f>
        <v>0.0</v>
      </c>
      <c r="N274" s="31">
        <f>AR274+MIN(X273+AH274-AR274,MAX(0,ROUND(ROUND(Долги!$D$19-SUM($AL274:$AU274),2)-(SUM($H274:M274)-SUM($AL274:AQ274)),2)))</f>
        <v>0.0</v>
      </c>
      <c r="O274" s="31">
        <f>AS274+MIN(Y273+AI274-AS274,MAX(0,ROUND(ROUND(Долги!$D$19-SUM($AL274:$AU274),2)-(SUM($H274:N274)-SUM($AL274:AR274)),2)))</f>
        <v>0.0</v>
      </c>
      <c r="P274" s="31">
        <f>AT274+MIN(Z273+AJ274-AT274,MAX(0,ROUND(ROUND(Долги!$D$19-SUM($AL274:$AU274),2)-(SUM($H274:O274)-SUM($AL274:AS274)),2)))</f>
        <v>0.0</v>
      </c>
      <c r="Q274" s="31">
        <f>AU274+MIN(AA273+AK274-AU274,MAX(0,ROUND(ROUND(Долги!$D$19-SUM($AL274:$AU274),2)-(SUM($H274:P274)-SUM($AL274:AT274)),2)))</f>
        <v>0.0</v>
      </c>
      <c r="R274" s="31">
        <f>IF(R273+AB274-H274&lt;=0.01,0,ROUND(R273+AB274-H274,2))</f>
        <v>0.0</v>
      </c>
      <c r="S274" s="31">
        <f>IF(S273+AC274-I274&lt;=0.01,0,ROUND(S273+AC274-I274,2))</f>
        <v>0.0</v>
      </c>
      <c r="T274" s="31">
        <f>IF(T273+AD274-J274&lt;=0.01,0,ROUND(T273+AD274-J274,2))</f>
        <v>0.0</v>
      </c>
      <c r="U274" s="31">
        <f>IF(U273+AE274-K274&lt;=0.01,0,ROUND(U273+AE274-K274,2))</f>
        <v>0.0</v>
      </c>
      <c r="V274" s="31">
        <f>IF(V273+AF274-L274&lt;=0.01,0,ROUND(V273+AF274-L274,2))</f>
        <v>0.0</v>
      </c>
      <c r="W274" s="31">
        <f>IF(W273+AG274-M274&lt;=0.01,0,ROUND(W273+AG274-M274,2))</f>
        <v>0.0</v>
      </c>
      <c r="X274" s="31">
        <f>IF(X273+AH274-N274&lt;=0.01,0,ROUND(X273+AH274-N274,2))</f>
        <v>0.0</v>
      </c>
      <c r="Y274" s="31">
        <f>IF(Y273+AI274-O274&lt;=0.01,0,ROUND(Y273+AI274-O274,2))</f>
        <v>0.0</v>
      </c>
      <c r="Z274" s="31">
        <f>IF(Z273+AJ274-P274&lt;=0.01,0,ROUND(Z273+AJ274-P274,2))</f>
        <v>0.0</v>
      </c>
      <c r="AA274" s="31">
        <f>IF(AA273+AK274-Q274&lt;=0.01,0,ROUND(AA273+AK274-Q274,2))</f>
        <v>0.0</v>
      </c>
      <c r="AB274" s="31">
        <f>ROUND(R273*AB$5/1200,2)</f>
        <v>0.0</v>
      </c>
      <c r="AC274" s="31">
        <f>ROUND(S273*AC$5/1200,2)</f>
        <v>0.0</v>
      </c>
      <c r="AD274" s="31">
        <f>ROUND(T273*AD$5/1200,2)</f>
        <v>0.0</v>
      </c>
      <c r="AE274" s="31">
        <f>ROUND(U273*AE$5/1200,2)</f>
        <v>0.0</v>
      </c>
      <c r="AF274" s="31">
        <f>ROUND(V273*AF$5/1200,2)</f>
        <v>0.0</v>
      </c>
      <c r="AG274" s="31">
        <f>ROUND(W273*AG$5/1200,2)</f>
        <v>0.0</v>
      </c>
      <c r="AH274" s="31">
        <f>ROUND(X273*AH$5/1200,2)</f>
        <v>0.0</v>
      </c>
      <c r="AI274" s="31">
        <f>ROUND(Y273*AI$5/1200,2)</f>
        <v>0.0</v>
      </c>
      <c r="AJ274" s="31">
        <f>ROUND(Z273*AJ$5/1200,2)</f>
        <v>0.0</v>
      </c>
      <c r="AK274" s="31">
        <f>ROUND(AA273*AK$5/1200,2)</f>
        <v>0.0</v>
      </c>
      <c r="AL274" s="31">
        <f>MIN(AL$5,R273+AB274)</f>
        <v>0.0</v>
      </c>
      <c r="AM274" s="31">
        <f>MIN(AM$5,S273+AC274)</f>
        <v>0.0</v>
      </c>
      <c r="AN274" s="31">
        <f>MIN(AN$5,T273+AD274)</f>
        <v>0.0</v>
      </c>
      <c r="AO274" s="31">
        <f>MIN(AO$5,U273+AE274)</f>
        <v>0.0</v>
      </c>
      <c r="AP274" s="31">
        <f>MIN(AP$5,V273+AF274)</f>
        <v>0.0</v>
      </c>
      <c r="AQ274" s="31">
        <f>MIN(AQ$5,W273+AG274)</f>
        <v>0.0</v>
      </c>
      <c r="AR274" s="31">
        <f>MIN(AR$5,X273+AH274)</f>
        <v>0.0</v>
      </c>
      <c r="AS274" s="31">
        <f>MIN(AS$5,Y273+AI274)</f>
        <v>0.0</v>
      </c>
      <c r="AT274" s="31">
        <f>MIN(AT$5,Z273+AJ274)</f>
        <v>0.0</v>
      </c>
      <c r="AU274" s="31">
        <f>MIN(AU$5,AA273+AK274)</f>
        <v>0.0</v>
      </c>
    </row>
    <row r="275">
      <c r="A275" s="25" t="str">
        <f>IF(F274&gt;0.005,270,"")</f>
        <v/>
      </c>
      <c r="B275" s="33" t="str">
        <f>IF(A275="","",EDATE(Долги!$D$5,269))</f>
        <v/>
      </c>
      <c r="C275" s="31">
        <f>SUM(H275:Q275)</f>
        <v>0.0</v>
      </c>
      <c r="D275" s="31">
        <f>SUM(AB275:AK275)</f>
        <v>0.0</v>
      </c>
      <c r="E275" s="31">
        <f>C275-D275</f>
        <v>0.0</v>
      </c>
      <c r="F275" s="31">
        <f>SUM(R275:AA275)</f>
        <v>0.0</v>
      </c>
      <c r="G275" s="34" t="str">
        <f>IF(OR(A275="",$F$5&lt;=0),"",REPT("█",ROUND(20*F275/$F$5,0)))</f>
        <v/>
      </c>
      <c r="H275" s="31">
        <f>AL275+MIN(R274+AB275-AL275,MAX(0,ROUND(Долги!$D$19-SUM($AL275:$AU275),2)))</f>
        <v>0.0</v>
      </c>
      <c r="I275" s="31">
        <f>AM275+MIN(S274+AC275-AM275,MAX(0,ROUND(ROUND(Долги!$D$19-SUM($AL275:$AU275),2)-(SUM($H275:H275)-SUM($AL275:AL275)),2)))</f>
        <v>0.0</v>
      </c>
      <c r="J275" s="31">
        <f>AN275+MIN(T274+AD275-AN275,MAX(0,ROUND(ROUND(Долги!$D$19-SUM($AL275:$AU275),2)-(SUM($H275:I275)-SUM($AL275:AM275)),2)))</f>
        <v>0.0</v>
      </c>
      <c r="K275" s="31">
        <f>AO275+MIN(U274+AE275-AO275,MAX(0,ROUND(ROUND(Долги!$D$19-SUM($AL275:$AU275),2)-(SUM($H275:J275)-SUM($AL275:AN275)),2)))</f>
        <v>0.0</v>
      </c>
      <c r="L275" s="31">
        <f>AP275+MIN(V274+AF275-AP275,MAX(0,ROUND(ROUND(Долги!$D$19-SUM($AL275:$AU275),2)-(SUM($H275:K275)-SUM($AL275:AO275)),2)))</f>
        <v>0.0</v>
      </c>
      <c r="M275" s="31">
        <f>AQ275+MIN(W274+AG275-AQ275,MAX(0,ROUND(ROUND(Долги!$D$19-SUM($AL275:$AU275),2)-(SUM($H275:L275)-SUM($AL275:AP275)),2)))</f>
        <v>0.0</v>
      </c>
      <c r="N275" s="31">
        <f>AR275+MIN(X274+AH275-AR275,MAX(0,ROUND(ROUND(Долги!$D$19-SUM($AL275:$AU275),2)-(SUM($H275:M275)-SUM($AL275:AQ275)),2)))</f>
        <v>0.0</v>
      </c>
      <c r="O275" s="31">
        <f>AS275+MIN(Y274+AI275-AS275,MAX(0,ROUND(ROUND(Долги!$D$19-SUM($AL275:$AU275),2)-(SUM($H275:N275)-SUM($AL275:AR275)),2)))</f>
        <v>0.0</v>
      </c>
      <c r="P275" s="31">
        <f>AT275+MIN(Z274+AJ275-AT275,MAX(0,ROUND(ROUND(Долги!$D$19-SUM($AL275:$AU275),2)-(SUM($H275:O275)-SUM($AL275:AS275)),2)))</f>
        <v>0.0</v>
      </c>
      <c r="Q275" s="31">
        <f>AU275+MIN(AA274+AK275-AU275,MAX(0,ROUND(ROUND(Долги!$D$19-SUM($AL275:$AU275),2)-(SUM($H275:P275)-SUM($AL275:AT275)),2)))</f>
        <v>0.0</v>
      </c>
      <c r="R275" s="31">
        <f>IF(R274+AB275-H275&lt;=0.01,0,ROUND(R274+AB275-H275,2))</f>
        <v>0.0</v>
      </c>
      <c r="S275" s="31">
        <f>IF(S274+AC275-I275&lt;=0.01,0,ROUND(S274+AC275-I275,2))</f>
        <v>0.0</v>
      </c>
      <c r="T275" s="31">
        <f>IF(T274+AD275-J275&lt;=0.01,0,ROUND(T274+AD275-J275,2))</f>
        <v>0.0</v>
      </c>
      <c r="U275" s="31">
        <f>IF(U274+AE275-K275&lt;=0.01,0,ROUND(U274+AE275-K275,2))</f>
        <v>0.0</v>
      </c>
      <c r="V275" s="31">
        <f>IF(V274+AF275-L275&lt;=0.01,0,ROUND(V274+AF275-L275,2))</f>
        <v>0.0</v>
      </c>
      <c r="W275" s="31">
        <f>IF(W274+AG275-M275&lt;=0.01,0,ROUND(W274+AG275-M275,2))</f>
        <v>0.0</v>
      </c>
      <c r="X275" s="31">
        <f>IF(X274+AH275-N275&lt;=0.01,0,ROUND(X274+AH275-N275,2))</f>
        <v>0.0</v>
      </c>
      <c r="Y275" s="31">
        <f>IF(Y274+AI275-O275&lt;=0.01,0,ROUND(Y274+AI275-O275,2))</f>
        <v>0.0</v>
      </c>
      <c r="Z275" s="31">
        <f>IF(Z274+AJ275-P275&lt;=0.01,0,ROUND(Z274+AJ275-P275,2))</f>
        <v>0.0</v>
      </c>
      <c r="AA275" s="31">
        <f>IF(AA274+AK275-Q275&lt;=0.01,0,ROUND(AA274+AK275-Q275,2))</f>
        <v>0.0</v>
      </c>
      <c r="AB275" s="31">
        <f>ROUND(R274*AB$5/1200,2)</f>
        <v>0.0</v>
      </c>
      <c r="AC275" s="31">
        <f>ROUND(S274*AC$5/1200,2)</f>
        <v>0.0</v>
      </c>
      <c r="AD275" s="31">
        <f>ROUND(T274*AD$5/1200,2)</f>
        <v>0.0</v>
      </c>
      <c r="AE275" s="31">
        <f>ROUND(U274*AE$5/1200,2)</f>
        <v>0.0</v>
      </c>
      <c r="AF275" s="31">
        <f>ROUND(V274*AF$5/1200,2)</f>
        <v>0.0</v>
      </c>
      <c r="AG275" s="31">
        <f>ROUND(W274*AG$5/1200,2)</f>
        <v>0.0</v>
      </c>
      <c r="AH275" s="31">
        <f>ROUND(X274*AH$5/1200,2)</f>
        <v>0.0</v>
      </c>
      <c r="AI275" s="31">
        <f>ROUND(Y274*AI$5/1200,2)</f>
        <v>0.0</v>
      </c>
      <c r="AJ275" s="31">
        <f>ROUND(Z274*AJ$5/1200,2)</f>
        <v>0.0</v>
      </c>
      <c r="AK275" s="31">
        <f>ROUND(AA274*AK$5/1200,2)</f>
        <v>0.0</v>
      </c>
      <c r="AL275" s="31">
        <f>MIN(AL$5,R274+AB275)</f>
        <v>0.0</v>
      </c>
      <c r="AM275" s="31">
        <f>MIN(AM$5,S274+AC275)</f>
        <v>0.0</v>
      </c>
      <c r="AN275" s="31">
        <f>MIN(AN$5,T274+AD275)</f>
        <v>0.0</v>
      </c>
      <c r="AO275" s="31">
        <f>MIN(AO$5,U274+AE275)</f>
        <v>0.0</v>
      </c>
      <c r="AP275" s="31">
        <f>MIN(AP$5,V274+AF275)</f>
        <v>0.0</v>
      </c>
      <c r="AQ275" s="31">
        <f>MIN(AQ$5,W274+AG275)</f>
        <v>0.0</v>
      </c>
      <c r="AR275" s="31">
        <f>MIN(AR$5,X274+AH275)</f>
        <v>0.0</v>
      </c>
      <c r="AS275" s="31">
        <f>MIN(AS$5,Y274+AI275)</f>
        <v>0.0</v>
      </c>
      <c r="AT275" s="31">
        <f>MIN(AT$5,Z274+AJ275)</f>
        <v>0.0</v>
      </c>
      <c r="AU275" s="31">
        <f>MIN(AU$5,AA274+AK275)</f>
        <v>0.0</v>
      </c>
    </row>
    <row r="276">
      <c r="A276" s="25" t="str">
        <f>IF(F275&gt;0.005,271,"")</f>
        <v/>
      </c>
      <c r="B276" s="33" t="str">
        <f>IF(A276="","",EDATE(Долги!$D$5,270))</f>
        <v/>
      </c>
      <c r="C276" s="31">
        <f>SUM(H276:Q276)</f>
        <v>0.0</v>
      </c>
      <c r="D276" s="31">
        <f>SUM(AB276:AK276)</f>
        <v>0.0</v>
      </c>
      <c r="E276" s="31">
        <f>C276-D276</f>
        <v>0.0</v>
      </c>
      <c r="F276" s="31">
        <f>SUM(R276:AA276)</f>
        <v>0.0</v>
      </c>
      <c r="G276" s="34" t="str">
        <f>IF(OR(A276="",$F$5&lt;=0),"",REPT("█",ROUND(20*F276/$F$5,0)))</f>
        <v/>
      </c>
      <c r="H276" s="31">
        <f>AL276+MIN(R275+AB276-AL276,MAX(0,ROUND(Долги!$D$19-SUM($AL276:$AU276),2)))</f>
        <v>0.0</v>
      </c>
      <c r="I276" s="31">
        <f>AM276+MIN(S275+AC276-AM276,MAX(0,ROUND(ROUND(Долги!$D$19-SUM($AL276:$AU276),2)-(SUM($H276:H276)-SUM($AL276:AL276)),2)))</f>
        <v>0.0</v>
      </c>
      <c r="J276" s="31">
        <f>AN276+MIN(T275+AD276-AN276,MAX(0,ROUND(ROUND(Долги!$D$19-SUM($AL276:$AU276),2)-(SUM($H276:I276)-SUM($AL276:AM276)),2)))</f>
        <v>0.0</v>
      </c>
      <c r="K276" s="31">
        <f>AO276+MIN(U275+AE276-AO276,MAX(0,ROUND(ROUND(Долги!$D$19-SUM($AL276:$AU276),2)-(SUM($H276:J276)-SUM($AL276:AN276)),2)))</f>
        <v>0.0</v>
      </c>
      <c r="L276" s="31">
        <f>AP276+MIN(V275+AF276-AP276,MAX(0,ROUND(ROUND(Долги!$D$19-SUM($AL276:$AU276),2)-(SUM($H276:K276)-SUM($AL276:AO276)),2)))</f>
        <v>0.0</v>
      </c>
      <c r="M276" s="31">
        <f>AQ276+MIN(W275+AG276-AQ276,MAX(0,ROUND(ROUND(Долги!$D$19-SUM($AL276:$AU276),2)-(SUM($H276:L276)-SUM($AL276:AP276)),2)))</f>
        <v>0.0</v>
      </c>
      <c r="N276" s="31">
        <f>AR276+MIN(X275+AH276-AR276,MAX(0,ROUND(ROUND(Долги!$D$19-SUM($AL276:$AU276),2)-(SUM($H276:M276)-SUM($AL276:AQ276)),2)))</f>
        <v>0.0</v>
      </c>
      <c r="O276" s="31">
        <f>AS276+MIN(Y275+AI276-AS276,MAX(0,ROUND(ROUND(Долги!$D$19-SUM($AL276:$AU276),2)-(SUM($H276:N276)-SUM($AL276:AR276)),2)))</f>
        <v>0.0</v>
      </c>
      <c r="P276" s="31">
        <f>AT276+MIN(Z275+AJ276-AT276,MAX(0,ROUND(ROUND(Долги!$D$19-SUM($AL276:$AU276),2)-(SUM($H276:O276)-SUM($AL276:AS276)),2)))</f>
        <v>0.0</v>
      </c>
      <c r="Q276" s="31">
        <f>AU276+MIN(AA275+AK276-AU276,MAX(0,ROUND(ROUND(Долги!$D$19-SUM($AL276:$AU276),2)-(SUM($H276:P276)-SUM($AL276:AT276)),2)))</f>
        <v>0.0</v>
      </c>
      <c r="R276" s="31">
        <f>IF(R275+AB276-H276&lt;=0.01,0,ROUND(R275+AB276-H276,2))</f>
        <v>0.0</v>
      </c>
      <c r="S276" s="31">
        <f>IF(S275+AC276-I276&lt;=0.01,0,ROUND(S275+AC276-I276,2))</f>
        <v>0.0</v>
      </c>
      <c r="T276" s="31">
        <f>IF(T275+AD276-J276&lt;=0.01,0,ROUND(T275+AD276-J276,2))</f>
        <v>0.0</v>
      </c>
      <c r="U276" s="31">
        <f>IF(U275+AE276-K276&lt;=0.01,0,ROUND(U275+AE276-K276,2))</f>
        <v>0.0</v>
      </c>
      <c r="V276" s="31">
        <f>IF(V275+AF276-L276&lt;=0.01,0,ROUND(V275+AF276-L276,2))</f>
        <v>0.0</v>
      </c>
      <c r="W276" s="31">
        <f>IF(W275+AG276-M276&lt;=0.01,0,ROUND(W275+AG276-M276,2))</f>
        <v>0.0</v>
      </c>
      <c r="X276" s="31">
        <f>IF(X275+AH276-N276&lt;=0.01,0,ROUND(X275+AH276-N276,2))</f>
        <v>0.0</v>
      </c>
      <c r="Y276" s="31">
        <f>IF(Y275+AI276-O276&lt;=0.01,0,ROUND(Y275+AI276-O276,2))</f>
        <v>0.0</v>
      </c>
      <c r="Z276" s="31">
        <f>IF(Z275+AJ276-P276&lt;=0.01,0,ROUND(Z275+AJ276-P276,2))</f>
        <v>0.0</v>
      </c>
      <c r="AA276" s="31">
        <f>IF(AA275+AK276-Q276&lt;=0.01,0,ROUND(AA275+AK276-Q276,2))</f>
        <v>0.0</v>
      </c>
      <c r="AB276" s="31">
        <f>ROUND(R275*AB$5/1200,2)</f>
        <v>0.0</v>
      </c>
      <c r="AC276" s="31">
        <f>ROUND(S275*AC$5/1200,2)</f>
        <v>0.0</v>
      </c>
      <c r="AD276" s="31">
        <f>ROUND(T275*AD$5/1200,2)</f>
        <v>0.0</v>
      </c>
      <c r="AE276" s="31">
        <f>ROUND(U275*AE$5/1200,2)</f>
        <v>0.0</v>
      </c>
      <c r="AF276" s="31">
        <f>ROUND(V275*AF$5/1200,2)</f>
        <v>0.0</v>
      </c>
      <c r="AG276" s="31">
        <f>ROUND(W275*AG$5/1200,2)</f>
        <v>0.0</v>
      </c>
      <c r="AH276" s="31">
        <f>ROUND(X275*AH$5/1200,2)</f>
        <v>0.0</v>
      </c>
      <c r="AI276" s="31">
        <f>ROUND(Y275*AI$5/1200,2)</f>
        <v>0.0</v>
      </c>
      <c r="AJ276" s="31">
        <f>ROUND(Z275*AJ$5/1200,2)</f>
        <v>0.0</v>
      </c>
      <c r="AK276" s="31">
        <f>ROUND(AA275*AK$5/1200,2)</f>
        <v>0.0</v>
      </c>
      <c r="AL276" s="31">
        <f>MIN(AL$5,R275+AB276)</f>
        <v>0.0</v>
      </c>
      <c r="AM276" s="31">
        <f>MIN(AM$5,S275+AC276)</f>
        <v>0.0</v>
      </c>
      <c r="AN276" s="31">
        <f>MIN(AN$5,T275+AD276)</f>
        <v>0.0</v>
      </c>
      <c r="AO276" s="31">
        <f>MIN(AO$5,U275+AE276)</f>
        <v>0.0</v>
      </c>
      <c r="AP276" s="31">
        <f>MIN(AP$5,V275+AF276)</f>
        <v>0.0</v>
      </c>
      <c r="AQ276" s="31">
        <f>MIN(AQ$5,W275+AG276)</f>
        <v>0.0</v>
      </c>
      <c r="AR276" s="31">
        <f>MIN(AR$5,X275+AH276)</f>
        <v>0.0</v>
      </c>
      <c r="AS276" s="31">
        <f>MIN(AS$5,Y275+AI276)</f>
        <v>0.0</v>
      </c>
      <c r="AT276" s="31">
        <f>MIN(AT$5,Z275+AJ276)</f>
        <v>0.0</v>
      </c>
      <c r="AU276" s="31">
        <f>MIN(AU$5,AA275+AK276)</f>
        <v>0.0</v>
      </c>
    </row>
    <row r="277">
      <c r="A277" s="25" t="str">
        <f>IF(F276&gt;0.005,272,"")</f>
        <v/>
      </c>
      <c r="B277" s="33" t="str">
        <f>IF(A277="","",EDATE(Долги!$D$5,271))</f>
        <v/>
      </c>
      <c r="C277" s="31">
        <f>SUM(H277:Q277)</f>
        <v>0.0</v>
      </c>
      <c r="D277" s="31">
        <f>SUM(AB277:AK277)</f>
        <v>0.0</v>
      </c>
      <c r="E277" s="31">
        <f>C277-D277</f>
        <v>0.0</v>
      </c>
      <c r="F277" s="31">
        <f>SUM(R277:AA277)</f>
        <v>0.0</v>
      </c>
      <c r="G277" s="34" t="str">
        <f>IF(OR(A277="",$F$5&lt;=0),"",REPT("█",ROUND(20*F277/$F$5,0)))</f>
        <v/>
      </c>
      <c r="H277" s="31">
        <f>AL277+MIN(R276+AB277-AL277,MAX(0,ROUND(Долги!$D$19-SUM($AL277:$AU277),2)))</f>
        <v>0.0</v>
      </c>
      <c r="I277" s="31">
        <f>AM277+MIN(S276+AC277-AM277,MAX(0,ROUND(ROUND(Долги!$D$19-SUM($AL277:$AU277),2)-(SUM($H277:H277)-SUM($AL277:AL277)),2)))</f>
        <v>0.0</v>
      </c>
      <c r="J277" s="31">
        <f>AN277+MIN(T276+AD277-AN277,MAX(0,ROUND(ROUND(Долги!$D$19-SUM($AL277:$AU277),2)-(SUM($H277:I277)-SUM($AL277:AM277)),2)))</f>
        <v>0.0</v>
      </c>
      <c r="K277" s="31">
        <f>AO277+MIN(U276+AE277-AO277,MAX(0,ROUND(ROUND(Долги!$D$19-SUM($AL277:$AU277),2)-(SUM($H277:J277)-SUM($AL277:AN277)),2)))</f>
        <v>0.0</v>
      </c>
      <c r="L277" s="31">
        <f>AP277+MIN(V276+AF277-AP277,MAX(0,ROUND(ROUND(Долги!$D$19-SUM($AL277:$AU277),2)-(SUM($H277:K277)-SUM($AL277:AO277)),2)))</f>
        <v>0.0</v>
      </c>
      <c r="M277" s="31">
        <f>AQ277+MIN(W276+AG277-AQ277,MAX(0,ROUND(ROUND(Долги!$D$19-SUM($AL277:$AU277),2)-(SUM($H277:L277)-SUM($AL277:AP277)),2)))</f>
        <v>0.0</v>
      </c>
      <c r="N277" s="31">
        <f>AR277+MIN(X276+AH277-AR277,MAX(0,ROUND(ROUND(Долги!$D$19-SUM($AL277:$AU277),2)-(SUM($H277:M277)-SUM($AL277:AQ277)),2)))</f>
        <v>0.0</v>
      </c>
      <c r="O277" s="31">
        <f>AS277+MIN(Y276+AI277-AS277,MAX(0,ROUND(ROUND(Долги!$D$19-SUM($AL277:$AU277),2)-(SUM($H277:N277)-SUM($AL277:AR277)),2)))</f>
        <v>0.0</v>
      </c>
      <c r="P277" s="31">
        <f>AT277+MIN(Z276+AJ277-AT277,MAX(0,ROUND(ROUND(Долги!$D$19-SUM($AL277:$AU277),2)-(SUM($H277:O277)-SUM($AL277:AS277)),2)))</f>
        <v>0.0</v>
      </c>
      <c r="Q277" s="31">
        <f>AU277+MIN(AA276+AK277-AU277,MAX(0,ROUND(ROUND(Долги!$D$19-SUM($AL277:$AU277),2)-(SUM($H277:P277)-SUM($AL277:AT277)),2)))</f>
        <v>0.0</v>
      </c>
      <c r="R277" s="31">
        <f>IF(R276+AB277-H277&lt;=0.01,0,ROUND(R276+AB277-H277,2))</f>
        <v>0.0</v>
      </c>
      <c r="S277" s="31">
        <f>IF(S276+AC277-I277&lt;=0.01,0,ROUND(S276+AC277-I277,2))</f>
        <v>0.0</v>
      </c>
      <c r="T277" s="31">
        <f>IF(T276+AD277-J277&lt;=0.01,0,ROUND(T276+AD277-J277,2))</f>
        <v>0.0</v>
      </c>
      <c r="U277" s="31">
        <f>IF(U276+AE277-K277&lt;=0.01,0,ROUND(U276+AE277-K277,2))</f>
        <v>0.0</v>
      </c>
      <c r="V277" s="31">
        <f>IF(V276+AF277-L277&lt;=0.01,0,ROUND(V276+AF277-L277,2))</f>
        <v>0.0</v>
      </c>
      <c r="W277" s="31">
        <f>IF(W276+AG277-M277&lt;=0.01,0,ROUND(W276+AG277-M277,2))</f>
        <v>0.0</v>
      </c>
      <c r="X277" s="31">
        <f>IF(X276+AH277-N277&lt;=0.01,0,ROUND(X276+AH277-N277,2))</f>
        <v>0.0</v>
      </c>
      <c r="Y277" s="31">
        <f>IF(Y276+AI277-O277&lt;=0.01,0,ROUND(Y276+AI277-O277,2))</f>
        <v>0.0</v>
      </c>
      <c r="Z277" s="31">
        <f>IF(Z276+AJ277-P277&lt;=0.01,0,ROUND(Z276+AJ277-P277,2))</f>
        <v>0.0</v>
      </c>
      <c r="AA277" s="31">
        <f>IF(AA276+AK277-Q277&lt;=0.01,0,ROUND(AA276+AK277-Q277,2))</f>
        <v>0.0</v>
      </c>
      <c r="AB277" s="31">
        <f>ROUND(R276*AB$5/1200,2)</f>
        <v>0.0</v>
      </c>
      <c r="AC277" s="31">
        <f>ROUND(S276*AC$5/1200,2)</f>
        <v>0.0</v>
      </c>
      <c r="AD277" s="31">
        <f>ROUND(T276*AD$5/1200,2)</f>
        <v>0.0</v>
      </c>
      <c r="AE277" s="31">
        <f>ROUND(U276*AE$5/1200,2)</f>
        <v>0.0</v>
      </c>
      <c r="AF277" s="31">
        <f>ROUND(V276*AF$5/1200,2)</f>
        <v>0.0</v>
      </c>
      <c r="AG277" s="31">
        <f>ROUND(W276*AG$5/1200,2)</f>
        <v>0.0</v>
      </c>
      <c r="AH277" s="31">
        <f>ROUND(X276*AH$5/1200,2)</f>
        <v>0.0</v>
      </c>
      <c r="AI277" s="31">
        <f>ROUND(Y276*AI$5/1200,2)</f>
        <v>0.0</v>
      </c>
      <c r="AJ277" s="31">
        <f>ROUND(Z276*AJ$5/1200,2)</f>
        <v>0.0</v>
      </c>
      <c r="AK277" s="31">
        <f>ROUND(AA276*AK$5/1200,2)</f>
        <v>0.0</v>
      </c>
      <c r="AL277" s="31">
        <f>MIN(AL$5,R276+AB277)</f>
        <v>0.0</v>
      </c>
      <c r="AM277" s="31">
        <f>MIN(AM$5,S276+AC277)</f>
        <v>0.0</v>
      </c>
      <c r="AN277" s="31">
        <f>MIN(AN$5,T276+AD277)</f>
        <v>0.0</v>
      </c>
      <c r="AO277" s="31">
        <f>MIN(AO$5,U276+AE277)</f>
        <v>0.0</v>
      </c>
      <c r="AP277" s="31">
        <f>MIN(AP$5,V276+AF277)</f>
        <v>0.0</v>
      </c>
      <c r="AQ277" s="31">
        <f>MIN(AQ$5,W276+AG277)</f>
        <v>0.0</v>
      </c>
      <c r="AR277" s="31">
        <f>MIN(AR$5,X276+AH277)</f>
        <v>0.0</v>
      </c>
      <c r="AS277" s="31">
        <f>MIN(AS$5,Y276+AI277)</f>
        <v>0.0</v>
      </c>
      <c r="AT277" s="31">
        <f>MIN(AT$5,Z276+AJ277)</f>
        <v>0.0</v>
      </c>
      <c r="AU277" s="31">
        <f>MIN(AU$5,AA276+AK277)</f>
        <v>0.0</v>
      </c>
    </row>
    <row r="278">
      <c r="A278" s="25" t="str">
        <f>IF(F277&gt;0.005,273,"")</f>
        <v/>
      </c>
      <c r="B278" s="33" t="str">
        <f>IF(A278="","",EDATE(Долги!$D$5,272))</f>
        <v/>
      </c>
      <c r="C278" s="31">
        <f>SUM(H278:Q278)</f>
        <v>0.0</v>
      </c>
      <c r="D278" s="31">
        <f>SUM(AB278:AK278)</f>
        <v>0.0</v>
      </c>
      <c r="E278" s="31">
        <f>C278-D278</f>
        <v>0.0</v>
      </c>
      <c r="F278" s="31">
        <f>SUM(R278:AA278)</f>
        <v>0.0</v>
      </c>
      <c r="G278" s="34" t="str">
        <f>IF(OR(A278="",$F$5&lt;=0),"",REPT("█",ROUND(20*F278/$F$5,0)))</f>
        <v/>
      </c>
      <c r="H278" s="31">
        <f>AL278+MIN(R277+AB278-AL278,MAX(0,ROUND(Долги!$D$19-SUM($AL278:$AU278),2)))</f>
        <v>0.0</v>
      </c>
      <c r="I278" s="31">
        <f>AM278+MIN(S277+AC278-AM278,MAX(0,ROUND(ROUND(Долги!$D$19-SUM($AL278:$AU278),2)-(SUM($H278:H278)-SUM($AL278:AL278)),2)))</f>
        <v>0.0</v>
      </c>
      <c r="J278" s="31">
        <f>AN278+MIN(T277+AD278-AN278,MAX(0,ROUND(ROUND(Долги!$D$19-SUM($AL278:$AU278),2)-(SUM($H278:I278)-SUM($AL278:AM278)),2)))</f>
        <v>0.0</v>
      </c>
      <c r="K278" s="31">
        <f>AO278+MIN(U277+AE278-AO278,MAX(0,ROUND(ROUND(Долги!$D$19-SUM($AL278:$AU278),2)-(SUM($H278:J278)-SUM($AL278:AN278)),2)))</f>
        <v>0.0</v>
      </c>
      <c r="L278" s="31">
        <f>AP278+MIN(V277+AF278-AP278,MAX(0,ROUND(ROUND(Долги!$D$19-SUM($AL278:$AU278),2)-(SUM($H278:K278)-SUM($AL278:AO278)),2)))</f>
        <v>0.0</v>
      </c>
      <c r="M278" s="31">
        <f>AQ278+MIN(W277+AG278-AQ278,MAX(0,ROUND(ROUND(Долги!$D$19-SUM($AL278:$AU278),2)-(SUM($H278:L278)-SUM($AL278:AP278)),2)))</f>
        <v>0.0</v>
      </c>
      <c r="N278" s="31">
        <f>AR278+MIN(X277+AH278-AR278,MAX(0,ROUND(ROUND(Долги!$D$19-SUM($AL278:$AU278),2)-(SUM($H278:M278)-SUM($AL278:AQ278)),2)))</f>
        <v>0.0</v>
      </c>
      <c r="O278" s="31">
        <f>AS278+MIN(Y277+AI278-AS278,MAX(0,ROUND(ROUND(Долги!$D$19-SUM($AL278:$AU278),2)-(SUM($H278:N278)-SUM($AL278:AR278)),2)))</f>
        <v>0.0</v>
      </c>
      <c r="P278" s="31">
        <f>AT278+MIN(Z277+AJ278-AT278,MAX(0,ROUND(ROUND(Долги!$D$19-SUM($AL278:$AU278),2)-(SUM($H278:O278)-SUM($AL278:AS278)),2)))</f>
        <v>0.0</v>
      </c>
      <c r="Q278" s="31">
        <f>AU278+MIN(AA277+AK278-AU278,MAX(0,ROUND(ROUND(Долги!$D$19-SUM($AL278:$AU278),2)-(SUM($H278:P278)-SUM($AL278:AT278)),2)))</f>
        <v>0.0</v>
      </c>
      <c r="R278" s="31">
        <f>IF(R277+AB278-H278&lt;=0.01,0,ROUND(R277+AB278-H278,2))</f>
        <v>0.0</v>
      </c>
      <c r="S278" s="31">
        <f>IF(S277+AC278-I278&lt;=0.01,0,ROUND(S277+AC278-I278,2))</f>
        <v>0.0</v>
      </c>
      <c r="T278" s="31">
        <f>IF(T277+AD278-J278&lt;=0.01,0,ROUND(T277+AD278-J278,2))</f>
        <v>0.0</v>
      </c>
      <c r="U278" s="31">
        <f>IF(U277+AE278-K278&lt;=0.01,0,ROUND(U277+AE278-K278,2))</f>
        <v>0.0</v>
      </c>
      <c r="V278" s="31">
        <f>IF(V277+AF278-L278&lt;=0.01,0,ROUND(V277+AF278-L278,2))</f>
        <v>0.0</v>
      </c>
      <c r="W278" s="31">
        <f>IF(W277+AG278-M278&lt;=0.01,0,ROUND(W277+AG278-M278,2))</f>
        <v>0.0</v>
      </c>
      <c r="X278" s="31">
        <f>IF(X277+AH278-N278&lt;=0.01,0,ROUND(X277+AH278-N278,2))</f>
        <v>0.0</v>
      </c>
      <c r="Y278" s="31">
        <f>IF(Y277+AI278-O278&lt;=0.01,0,ROUND(Y277+AI278-O278,2))</f>
        <v>0.0</v>
      </c>
      <c r="Z278" s="31">
        <f>IF(Z277+AJ278-P278&lt;=0.01,0,ROUND(Z277+AJ278-P278,2))</f>
        <v>0.0</v>
      </c>
      <c r="AA278" s="31">
        <f>IF(AA277+AK278-Q278&lt;=0.01,0,ROUND(AA277+AK278-Q278,2))</f>
        <v>0.0</v>
      </c>
      <c r="AB278" s="31">
        <f>ROUND(R277*AB$5/1200,2)</f>
        <v>0.0</v>
      </c>
      <c r="AC278" s="31">
        <f>ROUND(S277*AC$5/1200,2)</f>
        <v>0.0</v>
      </c>
      <c r="AD278" s="31">
        <f>ROUND(T277*AD$5/1200,2)</f>
        <v>0.0</v>
      </c>
      <c r="AE278" s="31">
        <f>ROUND(U277*AE$5/1200,2)</f>
        <v>0.0</v>
      </c>
      <c r="AF278" s="31">
        <f>ROUND(V277*AF$5/1200,2)</f>
        <v>0.0</v>
      </c>
      <c r="AG278" s="31">
        <f>ROUND(W277*AG$5/1200,2)</f>
        <v>0.0</v>
      </c>
      <c r="AH278" s="31">
        <f>ROUND(X277*AH$5/1200,2)</f>
        <v>0.0</v>
      </c>
      <c r="AI278" s="31">
        <f>ROUND(Y277*AI$5/1200,2)</f>
        <v>0.0</v>
      </c>
      <c r="AJ278" s="31">
        <f>ROUND(Z277*AJ$5/1200,2)</f>
        <v>0.0</v>
      </c>
      <c r="AK278" s="31">
        <f>ROUND(AA277*AK$5/1200,2)</f>
        <v>0.0</v>
      </c>
      <c r="AL278" s="31">
        <f>MIN(AL$5,R277+AB278)</f>
        <v>0.0</v>
      </c>
      <c r="AM278" s="31">
        <f>MIN(AM$5,S277+AC278)</f>
        <v>0.0</v>
      </c>
      <c r="AN278" s="31">
        <f>MIN(AN$5,T277+AD278)</f>
        <v>0.0</v>
      </c>
      <c r="AO278" s="31">
        <f>MIN(AO$5,U277+AE278)</f>
        <v>0.0</v>
      </c>
      <c r="AP278" s="31">
        <f>MIN(AP$5,V277+AF278)</f>
        <v>0.0</v>
      </c>
      <c r="AQ278" s="31">
        <f>MIN(AQ$5,W277+AG278)</f>
        <v>0.0</v>
      </c>
      <c r="AR278" s="31">
        <f>MIN(AR$5,X277+AH278)</f>
        <v>0.0</v>
      </c>
      <c r="AS278" s="31">
        <f>MIN(AS$5,Y277+AI278)</f>
        <v>0.0</v>
      </c>
      <c r="AT278" s="31">
        <f>MIN(AT$5,Z277+AJ278)</f>
        <v>0.0</v>
      </c>
      <c r="AU278" s="31">
        <f>MIN(AU$5,AA277+AK278)</f>
        <v>0.0</v>
      </c>
    </row>
    <row r="279">
      <c r="A279" s="25" t="str">
        <f>IF(F278&gt;0.005,274,"")</f>
        <v/>
      </c>
      <c r="B279" s="33" t="str">
        <f>IF(A279="","",EDATE(Долги!$D$5,273))</f>
        <v/>
      </c>
      <c r="C279" s="31">
        <f>SUM(H279:Q279)</f>
        <v>0.0</v>
      </c>
      <c r="D279" s="31">
        <f>SUM(AB279:AK279)</f>
        <v>0.0</v>
      </c>
      <c r="E279" s="31">
        <f>C279-D279</f>
        <v>0.0</v>
      </c>
      <c r="F279" s="31">
        <f>SUM(R279:AA279)</f>
        <v>0.0</v>
      </c>
      <c r="G279" s="34" t="str">
        <f>IF(OR(A279="",$F$5&lt;=0),"",REPT("█",ROUND(20*F279/$F$5,0)))</f>
        <v/>
      </c>
      <c r="H279" s="31">
        <f>AL279+MIN(R278+AB279-AL279,MAX(0,ROUND(Долги!$D$19-SUM($AL279:$AU279),2)))</f>
        <v>0.0</v>
      </c>
      <c r="I279" s="31">
        <f>AM279+MIN(S278+AC279-AM279,MAX(0,ROUND(ROUND(Долги!$D$19-SUM($AL279:$AU279),2)-(SUM($H279:H279)-SUM($AL279:AL279)),2)))</f>
        <v>0.0</v>
      </c>
      <c r="J279" s="31">
        <f>AN279+MIN(T278+AD279-AN279,MAX(0,ROUND(ROUND(Долги!$D$19-SUM($AL279:$AU279),2)-(SUM($H279:I279)-SUM($AL279:AM279)),2)))</f>
        <v>0.0</v>
      </c>
      <c r="K279" s="31">
        <f>AO279+MIN(U278+AE279-AO279,MAX(0,ROUND(ROUND(Долги!$D$19-SUM($AL279:$AU279),2)-(SUM($H279:J279)-SUM($AL279:AN279)),2)))</f>
        <v>0.0</v>
      </c>
      <c r="L279" s="31">
        <f>AP279+MIN(V278+AF279-AP279,MAX(0,ROUND(ROUND(Долги!$D$19-SUM($AL279:$AU279),2)-(SUM($H279:K279)-SUM($AL279:AO279)),2)))</f>
        <v>0.0</v>
      </c>
      <c r="M279" s="31">
        <f>AQ279+MIN(W278+AG279-AQ279,MAX(0,ROUND(ROUND(Долги!$D$19-SUM($AL279:$AU279),2)-(SUM($H279:L279)-SUM($AL279:AP279)),2)))</f>
        <v>0.0</v>
      </c>
      <c r="N279" s="31">
        <f>AR279+MIN(X278+AH279-AR279,MAX(0,ROUND(ROUND(Долги!$D$19-SUM($AL279:$AU279),2)-(SUM($H279:M279)-SUM($AL279:AQ279)),2)))</f>
        <v>0.0</v>
      </c>
      <c r="O279" s="31">
        <f>AS279+MIN(Y278+AI279-AS279,MAX(0,ROUND(ROUND(Долги!$D$19-SUM($AL279:$AU279),2)-(SUM($H279:N279)-SUM($AL279:AR279)),2)))</f>
        <v>0.0</v>
      </c>
      <c r="P279" s="31">
        <f>AT279+MIN(Z278+AJ279-AT279,MAX(0,ROUND(ROUND(Долги!$D$19-SUM($AL279:$AU279),2)-(SUM($H279:O279)-SUM($AL279:AS279)),2)))</f>
        <v>0.0</v>
      </c>
      <c r="Q279" s="31">
        <f>AU279+MIN(AA278+AK279-AU279,MAX(0,ROUND(ROUND(Долги!$D$19-SUM($AL279:$AU279),2)-(SUM($H279:P279)-SUM($AL279:AT279)),2)))</f>
        <v>0.0</v>
      </c>
      <c r="R279" s="31">
        <f>IF(R278+AB279-H279&lt;=0.01,0,ROUND(R278+AB279-H279,2))</f>
        <v>0.0</v>
      </c>
      <c r="S279" s="31">
        <f>IF(S278+AC279-I279&lt;=0.01,0,ROUND(S278+AC279-I279,2))</f>
        <v>0.0</v>
      </c>
      <c r="T279" s="31">
        <f>IF(T278+AD279-J279&lt;=0.01,0,ROUND(T278+AD279-J279,2))</f>
        <v>0.0</v>
      </c>
      <c r="U279" s="31">
        <f>IF(U278+AE279-K279&lt;=0.01,0,ROUND(U278+AE279-K279,2))</f>
        <v>0.0</v>
      </c>
      <c r="V279" s="31">
        <f>IF(V278+AF279-L279&lt;=0.01,0,ROUND(V278+AF279-L279,2))</f>
        <v>0.0</v>
      </c>
      <c r="W279" s="31">
        <f>IF(W278+AG279-M279&lt;=0.01,0,ROUND(W278+AG279-M279,2))</f>
        <v>0.0</v>
      </c>
      <c r="X279" s="31">
        <f>IF(X278+AH279-N279&lt;=0.01,0,ROUND(X278+AH279-N279,2))</f>
        <v>0.0</v>
      </c>
      <c r="Y279" s="31">
        <f>IF(Y278+AI279-O279&lt;=0.01,0,ROUND(Y278+AI279-O279,2))</f>
        <v>0.0</v>
      </c>
      <c r="Z279" s="31">
        <f>IF(Z278+AJ279-P279&lt;=0.01,0,ROUND(Z278+AJ279-P279,2))</f>
        <v>0.0</v>
      </c>
      <c r="AA279" s="31">
        <f>IF(AA278+AK279-Q279&lt;=0.01,0,ROUND(AA278+AK279-Q279,2))</f>
        <v>0.0</v>
      </c>
      <c r="AB279" s="31">
        <f>ROUND(R278*AB$5/1200,2)</f>
        <v>0.0</v>
      </c>
      <c r="AC279" s="31">
        <f>ROUND(S278*AC$5/1200,2)</f>
        <v>0.0</v>
      </c>
      <c r="AD279" s="31">
        <f>ROUND(T278*AD$5/1200,2)</f>
        <v>0.0</v>
      </c>
      <c r="AE279" s="31">
        <f>ROUND(U278*AE$5/1200,2)</f>
        <v>0.0</v>
      </c>
      <c r="AF279" s="31">
        <f>ROUND(V278*AF$5/1200,2)</f>
        <v>0.0</v>
      </c>
      <c r="AG279" s="31">
        <f>ROUND(W278*AG$5/1200,2)</f>
        <v>0.0</v>
      </c>
      <c r="AH279" s="31">
        <f>ROUND(X278*AH$5/1200,2)</f>
        <v>0.0</v>
      </c>
      <c r="AI279" s="31">
        <f>ROUND(Y278*AI$5/1200,2)</f>
        <v>0.0</v>
      </c>
      <c r="AJ279" s="31">
        <f>ROUND(Z278*AJ$5/1200,2)</f>
        <v>0.0</v>
      </c>
      <c r="AK279" s="31">
        <f>ROUND(AA278*AK$5/1200,2)</f>
        <v>0.0</v>
      </c>
      <c r="AL279" s="31">
        <f>MIN(AL$5,R278+AB279)</f>
        <v>0.0</v>
      </c>
      <c r="AM279" s="31">
        <f>MIN(AM$5,S278+AC279)</f>
        <v>0.0</v>
      </c>
      <c r="AN279" s="31">
        <f>MIN(AN$5,T278+AD279)</f>
        <v>0.0</v>
      </c>
      <c r="AO279" s="31">
        <f>MIN(AO$5,U278+AE279)</f>
        <v>0.0</v>
      </c>
      <c r="AP279" s="31">
        <f>MIN(AP$5,V278+AF279)</f>
        <v>0.0</v>
      </c>
      <c r="AQ279" s="31">
        <f>MIN(AQ$5,W278+AG279)</f>
        <v>0.0</v>
      </c>
      <c r="AR279" s="31">
        <f>MIN(AR$5,X278+AH279)</f>
        <v>0.0</v>
      </c>
      <c r="AS279" s="31">
        <f>MIN(AS$5,Y278+AI279)</f>
        <v>0.0</v>
      </c>
      <c r="AT279" s="31">
        <f>MIN(AT$5,Z278+AJ279)</f>
        <v>0.0</v>
      </c>
      <c r="AU279" s="31">
        <f>MIN(AU$5,AA278+AK279)</f>
        <v>0.0</v>
      </c>
    </row>
    <row r="280">
      <c r="A280" s="25" t="str">
        <f>IF(F279&gt;0.005,275,"")</f>
        <v/>
      </c>
      <c r="B280" s="33" t="str">
        <f>IF(A280="","",EDATE(Долги!$D$5,274))</f>
        <v/>
      </c>
      <c r="C280" s="31">
        <f>SUM(H280:Q280)</f>
        <v>0.0</v>
      </c>
      <c r="D280" s="31">
        <f>SUM(AB280:AK280)</f>
        <v>0.0</v>
      </c>
      <c r="E280" s="31">
        <f>C280-D280</f>
        <v>0.0</v>
      </c>
      <c r="F280" s="31">
        <f>SUM(R280:AA280)</f>
        <v>0.0</v>
      </c>
      <c r="G280" s="34" t="str">
        <f>IF(OR(A280="",$F$5&lt;=0),"",REPT("█",ROUND(20*F280/$F$5,0)))</f>
        <v/>
      </c>
      <c r="H280" s="31">
        <f>AL280+MIN(R279+AB280-AL280,MAX(0,ROUND(Долги!$D$19-SUM($AL280:$AU280),2)))</f>
        <v>0.0</v>
      </c>
      <c r="I280" s="31">
        <f>AM280+MIN(S279+AC280-AM280,MAX(0,ROUND(ROUND(Долги!$D$19-SUM($AL280:$AU280),2)-(SUM($H280:H280)-SUM($AL280:AL280)),2)))</f>
        <v>0.0</v>
      </c>
      <c r="J280" s="31">
        <f>AN280+MIN(T279+AD280-AN280,MAX(0,ROUND(ROUND(Долги!$D$19-SUM($AL280:$AU280),2)-(SUM($H280:I280)-SUM($AL280:AM280)),2)))</f>
        <v>0.0</v>
      </c>
      <c r="K280" s="31">
        <f>AO280+MIN(U279+AE280-AO280,MAX(0,ROUND(ROUND(Долги!$D$19-SUM($AL280:$AU280),2)-(SUM($H280:J280)-SUM($AL280:AN280)),2)))</f>
        <v>0.0</v>
      </c>
      <c r="L280" s="31">
        <f>AP280+MIN(V279+AF280-AP280,MAX(0,ROUND(ROUND(Долги!$D$19-SUM($AL280:$AU280),2)-(SUM($H280:K280)-SUM($AL280:AO280)),2)))</f>
        <v>0.0</v>
      </c>
      <c r="M280" s="31">
        <f>AQ280+MIN(W279+AG280-AQ280,MAX(0,ROUND(ROUND(Долги!$D$19-SUM($AL280:$AU280),2)-(SUM($H280:L280)-SUM($AL280:AP280)),2)))</f>
        <v>0.0</v>
      </c>
      <c r="N280" s="31">
        <f>AR280+MIN(X279+AH280-AR280,MAX(0,ROUND(ROUND(Долги!$D$19-SUM($AL280:$AU280),2)-(SUM($H280:M280)-SUM($AL280:AQ280)),2)))</f>
        <v>0.0</v>
      </c>
      <c r="O280" s="31">
        <f>AS280+MIN(Y279+AI280-AS280,MAX(0,ROUND(ROUND(Долги!$D$19-SUM($AL280:$AU280),2)-(SUM($H280:N280)-SUM($AL280:AR280)),2)))</f>
        <v>0.0</v>
      </c>
      <c r="P280" s="31">
        <f>AT280+MIN(Z279+AJ280-AT280,MAX(0,ROUND(ROUND(Долги!$D$19-SUM($AL280:$AU280),2)-(SUM($H280:O280)-SUM($AL280:AS280)),2)))</f>
        <v>0.0</v>
      </c>
      <c r="Q280" s="31">
        <f>AU280+MIN(AA279+AK280-AU280,MAX(0,ROUND(ROUND(Долги!$D$19-SUM($AL280:$AU280),2)-(SUM($H280:P280)-SUM($AL280:AT280)),2)))</f>
        <v>0.0</v>
      </c>
      <c r="R280" s="31">
        <f>IF(R279+AB280-H280&lt;=0.01,0,ROUND(R279+AB280-H280,2))</f>
        <v>0.0</v>
      </c>
      <c r="S280" s="31">
        <f>IF(S279+AC280-I280&lt;=0.01,0,ROUND(S279+AC280-I280,2))</f>
        <v>0.0</v>
      </c>
      <c r="T280" s="31">
        <f>IF(T279+AD280-J280&lt;=0.01,0,ROUND(T279+AD280-J280,2))</f>
        <v>0.0</v>
      </c>
      <c r="U280" s="31">
        <f>IF(U279+AE280-K280&lt;=0.01,0,ROUND(U279+AE280-K280,2))</f>
        <v>0.0</v>
      </c>
      <c r="V280" s="31">
        <f>IF(V279+AF280-L280&lt;=0.01,0,ROUND(V279+AF280-L280,2))</f>
        <v>0.0</v>
      </c>
      <c r="W280" s="31">
        <f>IF(W279+AG280-M280&lt;=0.01,0,ROUND(W279+AG280-M280,2))</f>
        <v>0.0</v>
      </c>
      <c r="X280" s="31">
        <f>IF(X279+AH280-N280&lt;=0.01,0,ROUND(X279+AH280-N280,2))</f>
        <v>0.0</v>
      </c>
      <c r="Y280" s="31">
        <f>IF(Y279+AI280-O280&lt;=0.01,0,ROUND(Y279+AI280-O280,2))</f>
        <v>0.0</v>
      </c>
      <c r="Z280" s="31">
        <f>IF(Z279+AJ280-P280&lt;=0.01,0,ROUND(Z279+AJ280-P280,2))</f>
        <v>0.0</v>
      </c>
      <c r="AA280" s="31">
        <f>IF(AA279+AK280-Q280&lt;=0.01,0,ROUND(AA279+AK280-Q280,2))</f>
        <v>0.0</v>
      </c>
      <c r="AB280" s="31">
        <f>ROUND(R279*AB$5/1200,2)</f>
        <v>0.0</v>
      </c>
      <c r="AC280" s="31">
        <f>ROUND(S279*AC$5/1200,2)</f>
        <v>0.0</v>
      </c>
      <c r="AD280" s="31">
        <f>ROUND(T279*AD$5/1200,2)</f>
        <v>0.0</v>
      </c>
      <c r="AE280" s="31">
        <f>ROUND(U279*AE$5/1200,2)</f>
        <v>0.0</v>
      </c>
      <c r="AF280" s="31">
        <f>ROUND(V279*AF$5/1200,2)</f>
        <v>0.0</v>
      </c>
      <c r="AG280" s="31">
        <f>ROUND(W279*AG$5/1200,2)</f>
        <v>0.0</v>
      </c>
      <c r="AH280" s="31">
        <f>ROUND(X279*AH$5/1200,2)</f>
        <v>0.0</v>
      </c>
      <c r="AI280" s="31">
        <f>ROUND(Y279*AI$5/1200,2)</f>
        <v>0.0</v>
      </c>
      <c r="AJ280" s="31">
        <f>ROUND(Z279*AJ$5/1200,2)</f>
        <v>0.0</v>
      </c>
      <c r="AK280" s="31">
        <f>ROUND(AA279*AK$5/1200,2)</f>
        <v>0.0</v>
      </c>
      <c r="AL280" s="31">
        <f>MIN(AL$5,R279+AB280)</f>
        <v>0.0</v>
      </c>
      <c r="AM280" s="31">
        <f>MIN(AM$5,S279+AC280)</f>
        <v>0.0</v>
      </c>
      <c r="AN280" s="31">
        <f>MIN(AN$5,T279+AD280)</f>
        <v>0.0</v>
      </c>
      <c r="AO280" s="31">
        <f>MIN(AO$5,U279+AE280)</f>
        <v>0.0</v>
      </c>
      <c r="AP280" s="31">
        <f>MIN(AP$5,V279+AF280)</f>
        <v>0.0</v>
      </c>
      <c r="AQ280" s="31">
        <f>MIN(AQ$5,W279+AG280)</f>
        <v>0.0</v>
      </c>
      <c r="AR280" s="31">
        <f>MIN(AR$5,X279+AH280)</f>
        <v>0.0</v>
      </c>
      <c r="AS280" s="31">
        <f>MIN(AS$5,Y279+AI280)</f>
        <v>0.0</v>
      </c>
      <c r="AT280" s="31">
        <f>MIN(AT$5,Z279+AJ280)</f>
        <v>0.0</v>
      </c>
      <c r="AU280" s="31">
        <f>MIN(AU$5,AA279+AK280)</f>
        <v>0.0</v>
      </c>
    </row>
    <row r="281">
      <c r="A281" s="25" t="str">
        <f>IF(F280&gt;0.005,276,"")</f>
        <v/>
      </c>
      <c r="B281" s="33" t="str">
        <f>IF(A281="","",EDATE(Долги!$D$5,275))</f>
        <v/>
      </c>
      <c r="C281" s="31">
        <f>SUM(H281:Q281)</f>
        <v>0.0</v>
      </c>
      <c r="D281" s="31">
        <f>SUM(AB281:AK281)</f>
        <v>0.0</v>
      </c>
      <c r="E281" s="31">
        <f>C281-D281</f>
        <v>0.0</v>
      </c>
      <c r="F281" s="31">
        <f>SUM(R281:AA281)</f>
        <v>0.0</v>
      </c>
      <c r="G281" s="34" t="str">
        <f>IF(OR(A281="",$F$5&lt;=0),"",REPT("█",ROUND(20*F281/$F$5,0)))</f>
        <v/>
      </c>
      <c r="H281" s="31">
        <f>AL281+MIN(R280+AB281-AL281,MAX(0,ROUND(Долги!$D$19-SUM($AL281:$AU281),2)))</f>
        <v>0.0</v>
      </c>
      <c r="I281" s="31">
        <f>AM281+MIN(S280+AC281-AM281,MAX(0,ROUND(ROUND(Долги!$D$19-SUM($AL281:$AU281),2)-(SUM($H281:H281)-SUM($AL281:AL281)),2)))</f>
        <v>0.0</v>
      </c>
      <c r="J281" s="31">
        <f>AN281+MIN(T280+AD281-AN281,MAX(0,ROUND(ROUND(Долги!$D$19-SUM($AL281:$AU281),2)-(SUM($H281:I281)-SUM($AL281:AM281)),2)))</f>
        <v>0.0</v>
      </c>
      <c r="K281" s="31">
        <f>AO281+MIN(U280+AE281-AO281,MAX(0,ROUND(ROUND(Долги!$D$19-SUM($AL281:$AU281),2)-(SUM($H281:J281)-SUM($AL281:AN281)),2)))</f>
        <v>0.0</v>
      </c>
      <c r="L281" s="31">
        <f>AP281+MIN(V280+AF281-AP281,MAX(0,ROUND(ROUND(Долги!$D$19-SUM($AL281:$AU281),2)-(SUM($H281:K281)-SUM($AL281:AO281)),2)))</f>
        <v>0.0</v>
      </c>
      <c r="M281" s="31">
        <f>AQ281+MIN(W280+AG281-AQ281,MAX(0,ROUND(ROUND(Долги!$D$19-SUM($AL281:$AU281),2)-(SUM($H281:L281)-SUM($AL281:AP281)),2)))</f>
        <v>0.0</v>
      </c>
      <c r="N281" s="31">
        <f>AR281+MIN(X280+AH281-AR281,MAX(0,ROUND(ROUND(Долги!$D$19-SUM($AL281:$AU281),2)-(SUM($H281:M281)-SUM($AL281:AQ281)),2)))</f>
        <v>0.0</v>
      </c>
      <c r="O281" s="31">
        <f>AS281+MIN(Y280+AI281-AS281,MAX(0,ROUND(ROUND(Долги!$D$19-SUM($AL281:$AU281),2)-(SUM($H281:N281)-SUM($AL281:AR281)),2)))</f>
        <v>0.0</v>
      </c>
      <c r="P281" s="31">
        <f>AT281+MIN(Z280+AJ281-AT281,MAX(0,ROUND(ROUND(Долги!$D$19-SUM($AL281:$AU281),2)-(SUM($H281:O281)-SUM($AL281:AS281)),2)))</f>
        <v>0.0</v>
      </c>
      <c r="Q281" s="31">
        <f>AU281+MIN(AA280+AK281-AU281,MAX(0,ROUND(ROUND(Долги!$D$19-SUM($AL281:$AU281),2)-(SUM($H281:P281)-SUM($AL281:AT281)),2)))</f>
        <v>0.0</v>
      </c>
      <c r="R281" s="31">
        <f>IF(R280+AB281-H281&lt;=0.01,0,ROUND(R280+AB281-H281,2))</f>
        <v>0.0</v>
      </c>
      <c r="S281" s="31">
        <f>IF(S280+AC281-I281&lt;=0.01,0,ROUND(S280+AC281-I281,2))</f>
        <v>0.0</v>
      </c>
      <c r="T281" s="31">
        <f>IF(T280+AD281-J281&lt;=0.01,0,ROUND(T280+AD281-J281,2))</f>
        <v>0.0</v>
      </c>
      <c r="U281" s="31">
        <f>IF(U280+AE281-K281&lt;=0.01,0,ROUND(U280+AE281-K281,2))</f>
        <v>0.0</v>
      </c>
      <c r="V281" s="31">
        <f>IF(V280+AF281-L281&lt;=0.01,0,ROUND(V280+AF281-L281,2))</f>
        <v>0.0</v>
      </c>
      <c r="W281" s="31">
        <f>IF(W280+AG281-M281&lt;=0.01,0,ROUND(W280+AG281-M281,2))</f>
        <v>0.0</v>
      </c>
      <c r="X281" s="31">
        <f>IF(X280+AH281-N281&lt;=0.01,0,ROUND(X280+AH281-N281,2))</f>
        <v>0.0</v>
      </c>
      <c r="Y281" s="31">
        <f>IF(Y280+AI281-O281&lt;=0.01,0,ROUND(Y280+AI281-O281,2))</f>
        <v>0.0</v>
      </c>
      <c r="Z281" s="31">
        <f>IF(Z280+AJ281-P281&lt;=0.01,0,ROUND(Z280+AJ281-P281,2))</f>
        <v>0.0</v>
      </c>
      <c r="AA281" s="31">
        <f>IF(AA280+AK281-Q281&lt;=0.01,0,ROUND(AA280+AK281-Q281,2))</f>
        <v>0.0</v>
      </c>
      <c r="AB281" s="31">
        <f>ROUND(R280*AB$5/1200,2)</f>
        <v>0.0</v>
      </c>
      <c r="AC281" s="31">
        <f>ROUND(S280*AC$5/1200,2)</f>
        <v>0.0</v>
      </c>
      <c r="AD281" s="31">
        <f>ROUND(T280*AD$5/1200,2)</f>
        <v>0.0</v>
      </c>
      <c r="AE281" s="31">
        <f>ROUND(U280*AE$5/1200,2)</f>
        <v>0.0</v>
      </c>
      <c r="AF281" s="31">
        <f>ROUND(V280*AF$5/1200,2)</f>
        <v>0.0</v>
      </c>
      <c r="AG281" s="31">
        <f>ROUND(W280*AG$5/1200,2)</f>
        <v>0.0</v>
      </c>
      <c r="AH281" s="31">
        <f>ROUND(X280*AH$5/1200,2)</f>
        <v>0.0</v>
      </c>
      <c r="AI281" s="31">
        <f>ROUND(Y280*AI$5/1200,2)</f>
        <v>0.0</v>
      </c>
      <c r="AJ281" s="31">
        <f>ROUND(Z280*AJ$5/1200,2)</f>
        <v>0.0</v>
      </c>
      <c r="AK281" s="31">
        <f>ROUND(AA280*AK$5/1200,2)</f>
        <v>0.0</v>
      </c>
      <c r="AL281" s="31">
        <f>MIN(AL$5,R280+AB281)</f>
        <v>0.0</v>
      </c>
      <c r="AM281" s="31">
        <f>MIN(AM$5,S280+AC281)</f>
        <v>0.0</v>
      </c>
      <c r="AN281" s="31">
        <f>MIN(AN$5,T280+AD281)</f>
        <v>0.0</v>
      </c>
      <c r="AO281" s="31">
        <f>MIN(AO$5,U280+AE281)</f>
        <v>0.0</v>
      </c>
      <c r="AP281" s="31">
        <f>MIN(AP$5,V280+AF281)</f>
        <v>0.0</v>
      </c>
      <c r="AQ281" s="31">
        <f>MIN(AQ$5,W280+AG281)</f>
        <v>0.0</v>
      </c>
      <c r="AR281" s="31">
        <f>MIN(AR$5,X280+AH281)</f>
        <v>0.0</v>
      </c>
      <c r="AS281" s="31">
        <f>MIN(AS$5,Y280+AI281)</f>
        <v>0.0</v>
      </c>
      <c r="AT281" s="31">
        <f>MIN(AT$5,Z280+AJ281)</f>
        <v>0.0</v>
      </c>
      <c r="AU281" s="31">
        <f>MIN(AU$5,AA280+AK281)</f>
        <v>0.0</v>
      </c>
    </row>
    <row r="282">
      <c r="A282" s="25" t="str">
        <f>IF(F281&gt;0.005,277,"")</f>
        <v/>
      </c>
      <c r="B282" s="33" t="str">
        <f>IF(A282="","",EDATE(Долги!$D$5,276))</f>
        <v/>
      </c>
      <c r="C282" s="31">
        <f>SUM(H282:Q282)</f>
        <v>0.0</v>
      </c>
      <c r="D282" s="31">
        <f>SUM(AB282:AK282)</f>
        <v>0.0</v>
      </c>
      <c r="E282" s="31">
        <f>C282-D282</f>
        <v>0.0</v>
      </c>
      <c r="F282" s="31">
        <f>SUM(R282:AA282)</f>
        <v>0.0</v>
      </c>
      <c r="G282" s="34" t="str">
        <f>IF(OR(A282="",$F$5&lt;=0),"",REPT("█",ROUND(20*F282/$F$5,0)))</f>
        <v/>
      </c>
      <c r="H282" s="31">
        <f>AL282+MIN(R281+AB282-AL282,MAX(0,ROUND(Долги!$D$19-SUM($AL282:$AU282),2)))</f>
        <v>0.0</v>
      </c>
      <c r="I282" s="31">
        <f>AM282+MIN(S281+AC282-AM282,MAX(0,ROUND(ROUND(Долги!$D$19-SUM($AL282:$AU282),2)-(SUM($H282:H282)-SUM($AL282:AL282)),2)))</f>
        <v>0.0</v>
      </c>
      <c r="J282" s="31">
        <f>AN282+MIN(T281+AD282-AN282,MAX(0,ROUND(ROUND(Долги!$D$19-SUM($AL282:$AU282),2)-(SUM($H282:I282)-SUM($AL282:AM282)),2)))</f>
        <v>0.0</v>
      </c>
      <c r="K282" s="31">
        <f>AO282+MIN(U281+AE282-AO282,MAX(0,ROUND(ROUND(Долги!$D$19-SUM($AL282:$AU282),2)-(SUM($H282:J282)-SUM($AL282:AN282)),2)))</f>
        <v>0.0</v>
      </c>
      <c r="L282" s="31">
        <f>AP282+MIN(V281+AF282-AP282,MAX(0,ROUND(ROUND(Долги!$D$19-SUM($AL282:$AU282),2)-(SUM($H282:K282)-SUM($AL282:AO282)),2)))</f>
        <v>0.0</v>
      </c>
      <c r="M282" s="31">
        <f>AQ282+MIN(W281+AG282-AQ282,MAX(0,ROUND(ROUND(Долги!$D$19-SUM($AL282:$AU282),2)-(SUM($H282:L282)-SUM($AL282:AP282)),2)))</f>
        <v>0.0</v>
      </c>
      <c r="N282" s="31">
        <f>AR282+MIN(X281+AH282-AR282,MAX(0,ROUND(ROUND(Долги!$D$19-SUM($AL282:$AU282),2)-(SUM($H282:M282)-SUM($AL282:AQ282)),2)))</f>
        <v>0.0</v>
      </c>
      <c r="O282" s="31">
        <f>AS282+MIN(Y281+AI282-AS282,MAX(0,ROUND(ROUND(Долги!$D$19-SUM($AL282:$AU282),2)-(SUM($H282:N282)-SUM($AL282:AR282)),2)))</f>
        <v>0.0</v>
      </c>
      <c r="P282" s="31">
        <f>AT282+MIN(Z281+AJ282-AT282,MAX(0,ROUND(ROUND(Долги!$D$19-SUM($AL282:$AU282),2)-(SUM($H282:O282)-SUM($AL282:AS282)),2)))</f>
        <v>0.0</v>
      </c>
      <c r="Q282" s="31">
        <f>AU282+MIN(AA281+AK282-AU282,MAX(0,ROUND(ROUND(Долги!$D$19-SUM($AL282:$AU282),2)-(SUM($H282:P282)-SUM($AL282:AT282)),2)))</f>
        <v>0.0</v>
      </c>
      <c r="R282" s="31">
        <f>IF(R281+AB282-H282&lt;=0.01,0,ROUND(R281+AB282-H282,2))</f>
        <v>0.0</v>
      </c>
      <c r="S282" s="31">
        <f>IF(S281+AC282-I282&lt;=0.01,0,ROUND(S281+AC282-I282,2))</f>
        <v>0.0</v>
      </c>
      <c r="T282" s="31">
        <f>IF(T281+AD282-J282&lt;=0.01,0,ROUND(T281+AD282-J282,2))</f>
        <v>0.0</v>
      </c>
      <c r="U282" s="31">
        <f>IF(U281+AE282-K282&lt;=0.01,0,ROUND(U281+AE282-K282,2))</f>
        <v>0.0</v>
      </c>
      <c r="V282" s="31">
        <f>IF(V281+AF282-L282&lt;=0.01,0,ROUND(V281+AF282-L282,2))</f>
        <v>0.0</v>
      </c>
      <c r="W282" s="31">
        <f>IF(W281+AG282-M282&lt;=0.01,0,ROUND(W281+AG282-M282,2))</f>
        <v>0.0</v>
      </c>
      <c r="X282" s="31">
        <f>IF(X281+AH282-N282&lt;=0.01,0,ROUND(X281+AH282-N282,2))</f>
        <v>0.0</v>
      </c>
      <c r="Y282" s="31">
        <f>IF(Y281+AI282-O282&lt;=0.01,0,ROUND(Y281+AI282-O282,2))</f>
        <v>0.0</v>
      </c>
      <c r="Z282" s="31">
        <f>IF(Z281+AJ282-P282&lt;=0.01,0,ROUND(Z281+AJ282-P282,2))</f>
        <v>0.0</v>
      </c>
      <c r="AA282" s="31">
        <f>IF(AA281+AK282-Q282&lt;=0.01,0,ROUND(AA281+AK282-Q282,2))</f>
        <v>0.0</v>
      </c>
      <c r="AB282" s="31">
        <f>ROUND(R281*AB$5/1200,2)</f>
        <v>0.0</v>
      </c>
      <c r="AC282" s="31">
        <f>ROUND(S281*AC$5/1200,2)</f>
        <v>0.0</v>
      </c>
      <c r="AD282" s="31">
        <f>ROUND(T281*AD$5/1200,2)</f>
        <v>0.0</v>
      </c>
      <c r="AE282" s="31">
        <f>ROUND(U281*AE$5/1200,2)</f>
        <v>0.0</v>
      </c>
      <c r="AF282" s="31">
        <f>ROUND(V281*AF$5/1200,2)</f>
        <v>0.0</v>
      </c>
      <c r="AG282" s="31">
        <f>ROUND(W281*AG$5/1200,2)</f>
        <v>0.0</v>
      </c>
      <c r="AH282" s="31">
        <f>ROUND(X281*AH$5/1200,2)</f>
        <v>0.0</v>
      </c>
      <c r="AI282" s="31">
        <f>ROUND(Y281*AI$5/1200,2)</f>
        <v>0.0</v>
      </c>
      <c r="AJ282" s="31">
        <f>ROUND(Z281*AJ$5/1200,2)</f>
        <v>0.0</v>
      </c>
      <c r="AK282" s="31">
        <f>ROUND(AA281*AK$5/1200,2)</f>
        <v>0.0</v>
      </c>
      <c r="AL282" s="31">
        <f>MIN(AL$5,R281+AB282)</f>
        <v>0.0</v>
      </c>
      <c r="AM282" s="31">
        <f>MIN(AM$5,S281+AC282)</f>
        <v>0.0</v>
      </c>
      <c r="AN282" s="31">
        <f>MIN(AN$5,T281+AD282)</f>
        <v>0.0</v>
      </c>
      <c r="AO282" s="31">
        <f>MIN(AO$5,U281+AE282)</f>
        <v>0.0</v>
      </c>
      <c r="AP282" s="31">
        <f>MIN(AP$5,V281+AF282)</f>
        <v>0.0</v>
      </c>
      <c r="AQ282" s="31">
        <f>MIN(AQ$5,W281+AG282)</f>
        <v>0.0</v>
      </c>
      <c r="AR282" s="31">
        <f>MIN(AR$5,X281+AH282)</f>
        <v>0.0</v>
      </c>
      <c r="AS282" s="31">
        <f>MIN(AS$5,Y281+AI282)</f>
        <v>0.0</v>
      </c>
      <c r="AT282" s="31">
        <f>MIN(AT$5,Z281+AJ282)</f>
        <v>0.0</v>
      </c>
      <c r="AU282" s="31">
        <f>MIN(AU$5,AA281+AK282)</f>
        <v>0.0</v>
      </c>
    </row>
    <row r="283">
      <c r="A283" s="25" t="str">
        <f>IF(F282&gt;0.005,278,"")</f>
        <v/>
      </c>
      <c r="B283" s="33" t="str">
        <f>IF(A283="","",EDATE(Долги!$D$5,277))</f>
        <v/>
      </c>
      <c r="C283" s="31">
        <f>SUM(H283:Q283)</f>
        <v>0.0</v>
      </c>
      <c r="D283" s="31">
        <f>SUM(AB283:AK283)</f>
        <v>0.0</v>
      </c>
      <c r="E283" s="31">
        <f>C283-D283</f>
        <v>0.0</v>
      </c>
      <c r="F283" s="31">
        <f>SUM(R283:AA283)</f>
        <v>0.0</v>
      </c>
      <c r="G283" s="34" t="str">
        <f>IF(OR(A283="",$F$5&lt;=0),"",REPT("█",ROUND(20*F283/$F$5,0)))</f>
        <v/>
      </c>
      <c r="H283" s="31">
        <f>AL283+MIN(R282+AB283-AL283,MAX(0,ROUND(Долги!$D$19-SUM($AL283:$AU283),2)))</f>
        <v>0.0</v>
      </c>
      <c r="I283" s="31">
        <f>AM283+MIN(S282+AC283-AM283,MAX(0,ROUND(ROUND(Долги!$D$19-SUM($AL283:$AU283),2)-(SUM($H283:H283)-SUM($AL283:AL283)),2)))</f>
        <v>0.0</v>
      </c>
      <c r="J283" s="31">
        <f>AN283+MIN(T282+AD283-AN283,MAX(0,ROUND(ROUND(Долги!$D$19-SUM($AL283:$AU283),2)-(SUM($H283:I283)-SUM($AL283:AM283)),2)))</f>
        <v>0.0</v>
      </c>
      <c r="K283" s="31">
        <f>AO283+MIN(U282+AE283-AO283,MAX(0,ROUND(ROUND(Долги!$D$19-SUM($AL283:$AU283),2)-(SUM($H283:J283)-SUM($AL283:AN283)),2)))</f>
        <v>0.0</v>
      </c>
      <c r="L283" s="31">
        <f>AP283+MIN(V282+AF283-AP283,MAX(0,ROUND(ROUND(Долги!$D$19-SUM($AL283:$AU283),2)-(SUM($H283:K283)-SUM($AL283:AO283)),2)))</f>
        <v>0.0</v>
      </c>
      <c r="M283" s="31">
        <f>AQ283+MIN(W282+AG283-AQ283,MAX(0,ROUND(ROUND(Долги!$D$19-SUM($AL283:$AU283),2)-(SUM($H283:L283)-SUM($AL283:AP283)),2)))</f>
        <v>0.0</v>
      </c>
      <c r="N283" s="31">
        <f>AR283+MIN(X282+AH283-AR283,MAX(0,ROUND(ROUND(Долги!$D$19-SUM($AL283:$AU283),2)-(SUM($H283:M283)-SUM($AL283:AQ283)),2)))</f>
        <v>0.0</v>
      </c>
      <c r="O283" s="31">
        <f>AS283+MIN(Y282+AI283-AS283,MAX(0,ROUND(ROUND(Долги!$D$19-SUM($AL283:$AU283),2)-(SUM($H283:N283)-SUM($AL283:AR283)),2)))</f>
        <v>0.0</v>
      </c>
      <c r="P283" s="31">
        <f>AT283+MIN(Z282+AJ283-AT283,MAX(0,ROUND(ROUND(Долги!$D$19-SUM($AL283:$AU283),2)-(SUM($H283:O283)-SUM($AL283:AS283)),2)))</f>
        <v>0.0</v>
      </c>
      <c r="Q283" s="31">
        <f>AU283+MIN(AA282+AK283-AU283,MAX(0,ROUND(ROUND(Долги!$D$19-SUM($AL283:$AU283),2)-(SUM($H283:P283)-SUM($AL283:AT283)),2)))</f>
        <v>0.0</v>
      </c>
      <c r="R283" s="31">
        <f>IF(R282+AB283-H283&lt;=0.01,0,ROUND(R282+AB283-H283,2))</f>
        <v>0.0</v>
      </c>
      <c r="S283" s="31">
        <f>IF(S282+AC283-I283&lt;=0.01,0,ROUND(S282+AC283-I283,2))</f>
        <v>0.0</v>
      </c>
      <c r="T283" s="31">
        <f>IF(T282+AD283-J283&lt;=0.01,0,ROUND(T282+AD283-J283,2))</f>
        <v>0.0</v>
      </c>
      <c r="U283" s="31">
        <f>IF(U282+AE283-K283&lt;=0.01,0,ROUND(U282+AE283-K283,2))</f>
        <v>0.0</v>
      </c>
      <c r="V283" s="31">
        <f>IF(V282+AF283-L283&lt;=0.01,0,ROUND(V282+AF283-L283,2))</f>
        <v>0.0</v>
      </c>
      <c r="W283" s="31">
        <f>IF(W282+AG283-M283&lt;=0.01,0,ROUND(W282+AG283-M283,2))</f>
        <v>0.0</v>
      </c>
      <c r="X283" s="31">
        <f>IF(X282+AH283-N283&lt;=0.01,0,ROUND(X282+AH283-N283,2))</f>
        <v>0.0</v>
      </c>
      <c r="Y283" s="31">
        <f>IF(Y282+AI283-O283&lt;=0.01,0,ROUND(Y282+AI283-O283,2))</f>
        <v>0.0</v>
      </c>
      <c r="Z283" s="31">
        <f>IF(Z282+AJ283-P283&lt;=0.01,0,ROUND(Z282+AJ283-P283,2))</f>
        <v>0.0</v>
      </c>
      <c r="AA283" s="31">
        <f>IF(AA282+AK283-Q283&lt;=0.01,0,ROUND(AA282+AK283-Q283,2))</f>
        <v>0.0</v>
      </c>
      <c r="AB283" s="31">
        <f>ROUND(R282*AB$5/1200,2)</f>
        <v>0.0</v>
      </c>
      <c r="AC283" s="31">
        <f>ROUND(S282*AC$5/1200,2)</f>
        <v>0.0</v>
      </c>
      <c r="AD283" s="31">
        <f>ROUND(T282*AD$5/1200,2)</f>
        <v>0.0</v>
      </c>
      <c r="AE283" s="31">
        <f>ROUND(U282*AE$5/1200,2)</f>
        <v>0.0</v>
      </c>
      <c r="AF283" s="31">
        <f>ROUND(V282*AF$5/1200,2)</f>
        <v>0.0</v>
      </c>
      <c r="AG283" s="31">
        <f>ROUND(W282*AG$5/1200,2)</f>
        <v>0.0</v>
      </c>
      <c r="AH283" s="31">
        <f>ROUND(X282*AH$5/1200,2)</f>
        <v>0.0</v>
      </c>
      <c r="AI283" s="31">
        <f>ROUND(Y282*AI$5/1200,2)</f>
        <v>0.0</v>
      </c>
      <c r="AJ283" s="31">
        <f>ROUND(Z282*AJ$5/1200,2)</f>
        <v>0.0</v>
      </c>
      <c r="AK283" s="31">
        <f>ROUND(AA282*AK$5/1200,2)</f>
        <v>0.0</v>
      </c>
      <c r="AL283" s="31">
        <f>MIN(AL$5,R282+AB283)</f>
        <v>0.0</v>
      </c>
      <c r="AM283" s="31">
        <f>MIN(AM$5,S282+AC283)</f>
        <v>0.0</v>
      </c>
      <c r="AN283" s="31">
        <f>MIN(AN$5,T282+AD283)</f>
        <v>0.0</v>
      </c>
      <c r="AO283" s="31">
        <f>MIN(AO$5,U282+AE283)</f>
        <v>0.0</v>
      </c>
      <c r="AP283" s="31">
        <f>MIN(AP$5,V282+AF283)</f>
        <v>0.0</v>
      </c>
      <c r="AQ283" s="31">
        <f>MIN(AQ$5,W282+AG283)</f>
        <v>0.0</v>
      </c>
      <c r="AR283" s="31">
        <f>MIN(AR$5,X282+AH283)</f>
        <v>0.0</v>
      </c>
      <c r="AS283" s="31">
        <f>MIN(AS$5,Y282+AI283)</f>
        <v>0.0</v>
      </c>
      <c r="AT283" s="31">
        <f>MIN(AT$5,Z282+AJ283)</f>
        <v>0.0</v>
      </c>
      <c r="AU283" s="31">
        <f>MIN(AU$5,AA282+AK283)</f>
        <v>0.0</v>
      </c>
    </row>
    <row r="284">
      <c r="A284" s="25" t="str">
        <f>IF(F283&gt;0.005,279,"")</f>
        <v/>
      </c>
      <c r="B284" s="33" t="str">
        <f>IF(A284="","",EDATE(Долги!$D$5,278))</f>
        <v/>
      </c>
      <c r="C284" s="31">
        <f>SUM(H284:Q284)</f>
        <v>0.0</v>
      </c>
      <c r="D284" s="31">
        <f>SUM(AB284:AK284)</f>
        <v>0.0</v>
      </c>
      <c r="E284" s="31">
        <f>C284-D284</f>
        <v>0.0</v>
      </c>
      <c r="F284" s="31">
        <f>SUM(R284:AA284)</f>
        <v>0.0</v>
      </c>
      <c r="G284" s="34" t="str">
        <f>IF(OR(A284="",$F$5&lt;=0),"",REPT("█",ROUND(20*F284/$F$5,0)))</f>
        <v/>
      </c>
      <c r="H284" s="31">
        <f>AL284+MIN(R283+AB284-AL284,MAX(0,ROUND(Долги!$D$19-SUM($AL284:$AU284),2)))</f>
        <v>0.0</v>
      </c>
      <c r="I284" s="31">
        <f>AM284+MIN(S283+AC284-AM284,MAX(0,ROUND(ROUND(Долги!$D$19-SUM($AL284:$AU284),2)-(SUM($H284:H284)-SUM($AL284:AL284)),2)))</f>
        <v>0.0</v>
      </c>
      <c r="J284" s="31">
        <f>AN284+MIN(T283+AD284-AN284,MAX(0,ROUND(ROUND(Долги!$D$19-SUM($AL284:$AU284),2)-(SUM($H284:I284)-SUM($AL284:AM284)),2)))</f>
        <v>0.0</v>
      </c>
      <c r="K284" s="31">
        <f>AO284+MIN(U283+AE284-AO284,MAX(0,ROUND(ROUND(Долги!$D$19-SUM($AL284:$AU284),2)-(SUM($H284:J284)-SUM($AL284:AN284)),2)))</f>
        <v>0.0</v>
      </c>
      <c r="L284" s="31">
        <f>AP284+MIN(V283+AF284-AP284,MAX(0,ROUND(ROUND(Долги!$D$19-SUM($AL284:$AU284),2)-(SUM($H284:K284)-SUM($AL284:AO284)),2)))</f>
        <v>0.0</v>
      </c>
      <c r="M284" s="31">
        <f>AQ284+MIN(W283+AG284-AQ284,MAX(0,ROUND(ROUND(Долги!$D$19-SUM($AL284:$AU284),2)-(SUM($H284:L284)-SUM($AL284:AP284)),2)))</f>
        <v>0.0</v>
      </c>
      <c r="N284" s="31">
        <f>AR284+MIN(X283+AH284-AR284,MAX(0,ROUND(ROUND(Долги!$D$19-SUM($AL284:$AU284),2)-(SUM($H284:M284)-SUM($AL284:AQ284)),2)))</f>
        <v>0.0</v>
      </c>
      <c r="O284" s="31">
        <f>AS284+MIN(Y283+AI284-AS284,MAX(0,ROUND(ROUND(Долги!$D$19-SUM($AL284:$AU284),2)-(SUM($H284:N284)-SUM($AL284:AR284)),2)))</f>
        <v>0.0</v>
      </c>
      <c r="P284" s="31">
        <f>AT284+MIN(Z283+AJ284-AT284,MAX(0,ROUND(ROUND(Долги!$D$19-SUM($AL284:$AU284),2)-(SUM($H284:O284)-SUM($AL284:AS284)),2)))</f>
        <v>0.0</v>
      </c>
      <c r="Q284" s="31">
        <f>AU284+MIN(AA283+AK284-AU284,MAX(0,ROUND(ROUND(Долги!$D$19-SUM($AL284:$AU284),2)-(SUM($H284:P284)-SUM($AL284:AT284)),2)))</f>
        <v>0.0</v>
      </c>
      <c r="R284" s="31">
        <f>IF(R283+AB284-H284&lt;=0.01,0,ROUND(R283+AB284-H284,2))</f>
        <v>0.0</v>
      </c>
      <c r="S284" s="31">
        <f>IF(S283+AC284-I284&lt;=0.01,0,ROUND(S283+AC284-I284,2))</f>
        <v>0.0</v>
      </c>
      <c r="T284" s="31">
        <f>IF(T283+AD284-J284&lt;=0.01,0,ROUND(T283+AD284-J284,2))</f>
        <v>0.0</v>
      </c>
      <c r="U284" s="31">
        <f>IF(U283+AE284-K284&lt;=0.01,0,ROUND(U283+AE284-K284,2))</f>
        <v>0.0</v>
      </c>
      <c r="V284" s="31">
        <f>IF(V283+AF284-L284&lt;=0.01,0,ROUND(V283+AF284-L284,2))</f>
        <v>0.0</v>
      </c>
      <c r="W284" s="31">
        <f>IF(W283+AG284-M284&lt;=0.01,0,ROUND(W283+AG284-M284,2))</f>
        <v>0.0</v>
      </c>
      <c r="X284" s="31">
        <f>IF(X283+AH284-N284&lt;=0.01,0,ROUND(X283+AH284-N284,2))</f>
        <v>0.0</v>
      </c>
      <c r="Y284" s="31">
        <f>IF(Y283+AI284-O284&lt;=0.01,0,ROUND(Y283+AI284-O284,2))</f>
        <v>0.0</v>
      </c>
      <c r="Z284" s="31">
        <f>IF(Z283+AJ284-P284&lt;=0.01,0,ROUND(Z283+AJ284-P284,2))</f>
        <v>0.0</v>
      </c>
      <c r="AA284" s="31">
        <f>IF(AA283+AK284-Q284&lt;=0.01,0,ROUND(AA283+AK284-Q284,2))</f>
        <v>0.0</v>
      </c>
      <c r="AB284" s="31">
        <f>ROUND(R283*AB$5/1200,2)</f>
        <v>0.0</v>
      </c>
      <c r="AC284" s="31">
        <f>ROUND(S283*AC$5/1200,2)</f>
        <v>0.0</v>
      </c>
      <c r="AD284" s="31">
        <f>ROUND(T283*AD$5/1200,2)</f>
        <v>0.0</v>
      </c>
      <c r="AE284" s="31">
        <f>ROUND(U283*AE$5/1200,2)</f>
        <v>0.0</v>
      </c>
      <c r="AF284" s="31">
        <f>ROUND(V283*AF$5/1200,2)</f>
        <v>0.0</v>
      </c>
      <c r="AG284" s="31">
        <f>ROUND(W283*AG$5/1200,2)</f>
        <v>0.0</v>
      </c>
      <c r="AH284" s="31">
        <f>ROUND(X283*AH$5/1200,2)</f>
        <v>0.0</v>
      </c>
      <c r="AI284" s="31">
        <f>ROUND(Y283*AI$5/1200,2)</f>
        <v>0.0</v>
      </c>
      <c r="AJ284" s="31">
        <f>ROUND(Z283*AJ$5/1200,2)</f>
        <v>0.0</v>
      </c>
      <c r="AK284" s="31">
        <f>ROUND(AA283*AK$5/1200,2)</f>
        <v>0.0</v>
      </c>
      <c r="AL284" s="31">
        <f>MIN(AL$5,R283+AB284)</f>
        <v>0.0</v>
      </c>
      <c r="AM284" s="31">
        <f>MIN(AM$5,S283+AC284)</f>
        <v>0.0</v>
      </c>
      <c r="AN284" s="31">
        <f>MIN(AN$5,T283+AD284)</f>
        <v>0.0</v>
      </c>
      <c r="AO284" s="31">
        <f>MIN(AO$5,U283+AE284)</f>
        <v>0.0</v>
      </c>
      <c r="AP284" s="31">
        <f>MIN(AP$5,V283+AF284)</f>
        <v>0.0</v>
      </c>
      <c r="AQ284" s="31">
        <f>MIN(AQ$5,W283+AG284)</f>
        <v>0.0</v>
      </c>
      <c r="AR284" s="31">
        <f>MIN(AR$5,X283+AH284)</f>
        <v>0.0</v>
      </c>
      <c r="AS284" s="31">
        <f>MIN(AS$5,Y283+AI284)</f>
        <v>0.0</v>
      </c>
      <c r="AT284" s="31">
        <f>MIN(AT$5,Z283+AJ284)</f>
        <v>0.0</v>
      </c>
      <c r="AU284" s="31">
        <f>MIN(AU$5,AA283+AK284)</f>
        <v>0.0</v>
      </c>
    </row>
    <row r="285">
      <c r="A285" s="25" t="str">
        <f>IF(F284&gt;0.005,280,"")</f>
        <v/>
      </c>
      <c r="B285" s="33" t="str">
        <f>IF(A285="","",EDATE(Долги!$D$5,279))</f>
        <v/>
      </c>
      <c r="C285" s="31">
        <f>SUM(H285:Q285)</f>
        <v>0.0</v>
      </c>
      <c r="D285" s="31">
        <f>SUM(AB285:AK285)</f>
        <v>0.0</v>
      </c>
      <c r="E285" s="31">
        <f>C285-D285</f>
        <v>0.0</v>
      </c>
      <c r="F285" s="31">
        <f>SUM(R285:AA285)</f>
        <v>0.0</v>
      </c>
      <c r="G285" s="34" t="str">
        <f>IF(OR(A285="",$F$5&lt;=0),"",REPT("█",ROUND(20*F285/$F$5,0)))</f>
        <v/>
      </c>
      <c r="H285" s="31">
        <f>AL285+MIN(R284+AB285-AL285,MAX(0,ROUND(Долги!$D$19-SUM($AL285:$AU285),2)))</f>
        <v>0.0</v>
      </c>
      <c r="I285" s="31">
        <f>AM285+MIN(S284+AC285-AM285,MAX(0,ROUND(ROUND(Долги!$D$19-SUM($AL285:$AU285),2)-(SUM($H285:H285)-SUM($AL285:AL285)),2)))</f>
        <v>0.0</v>
      </c>
      <c r="J285" s="31">
        <f>AN285+MIN(T284+AD285-AN285,MAX(0,ROUND(ROUND(Долги!$D$19-SUM($AL285:$AU285),2)-(SUM($H285:I285)-SUM($AL285:AM285)),2)))</f>
        <v>0.0</v>
      </c>
      <c r="K285" s="31">
        <f>AO285+MIN(U284+AE285-AO285,MAX(0,ROUND(ROUND(Долги!$D$19-SUM($AL285:$AU285),2)-(SUM($H285:J285)-SUM($AL285:AN285)),2)))</f>
        <v>0.0</v>
      </c>
      <c r="L285" s="31">
        <f>AP285+MIN(V284+AF285-AP285,MAX(0,ROUND(ROUND(Долги!$D$19-SUM($AL285:$AU285),2)-(SUM($H285:K285)-SUM($AL285:AO285)),2)))</f>
        <v>0.0</v>
      </c>
      <c r="M285" s="31">
        <f>AQ285+MIN(W284+AG285-AQ285,MAX(0,ROUND(ROUND(Долги!$D$19-SUM($AL285:$AU285),2)-(SUM($H285:L285)-SUM($AL285:AP285)),2)))</f>
        <v>0.0</v>
      </c>
      <c r="N285" s="31">
        <f>AR285+MIN(X284+AH285-AR285,MAX(0,ROUND(ROUND(Долги!$D$19-SUM($AL285:$AU285),2)-(SUM($H285:M285)-SUM($AL285:AQ285)),2)))</f>
        <v>0.0</v>
      </c>
      <c r="O285" s="31">
        <f>AS285+MIN(Y284+AI285-AS285,MAX(0,ROUND(ROUND(Долги!$D$19-SUM($AL285:$AU285),2)-(SUM($H285:N285)-SUM($AL285:AR285)),2)))</f>
        <v>0.0</v>
      </c>
      <c r="P285" s="31">
        <f>AT285+MIN(Z284+AJ285-AT285,MAX(0,ROUND(ROUND(Долги!$D$19-SUM($AL285:$AU285),2)-(SUM($H285:O285)-SUM($AL285:AS285)),2)))</f>
        <v>0.0</v>
      </c>
      <c r="Q285" s="31">
        <f>AU285+MIN(AA284+AK285-AU285,MAX(0,ROUND(ROUND(Долги!$D$19-SUM($AL285:$AU285),2)-(SUM($H285:P285)-SUM($AL285:AT285)),2)))</f>
        <v>0.0</v>
      </c>
      <c r="R285" s="31">
        <f>IF(R284+AB285-H285&lt;=0.01,0,ROUND(R284+AB285-H285,2))</f>
        <v>0.0</v>
      </c>
      <c r="S285" s="31">
        <f>IF(S284+AC285-I285&lt;=0.01,0,ROUND(S284+AC285-I285,2))</f>
        <v>0.0</v>
      </c>
      <c r="T285" s="31">
        <f>IF(T284+AD285-J285&lt;=0.01,0,ROUND(T284+AD285-J285,2))</f>
        <v>0.0</v>
      </c>
      <c r="U285" s="31">
        <f>IF(U284+AE285-K285&lt;=0.01,0,ROUND(U284+AE285-K285,2))</f>
        <v>0.0</v>
      </c>
      <c r="V285" s="31">
        <f>IF(V284+AF285-L285&lt;=0.01,0,ROUND(V284+AF285-L285,2))</f>
        <v>0.0</v>
      </c>
      <c r="W285" s="31">
        <f>IF(W284+AG285-M285&lt;=0.01,0,ROUND(W284+AG285-M285,2))</f>
        <v>0.0</v>
      </c>
      <c r="X285" s="31">
        <f>IF(X284+AH285-N285&lt;=0.01,0,ROUND(X284+AH285-N285,2))</f>
        <v>0.0</v>
      </c>
      <c r="Y285" s="31">
        <f>IF(Y284+AI285-O285&lt;=0.01,0,ROUND(Y284+AI285-O285,2))</f>
        <v>0.0</v>
      </c>
      <c r="Z285" s="31">
        <f>IF(Z284+AJ285-P285&lt;=0.01,0,ROUND(Z284+AJ285-P285,2))</f>
        <v>0.0</v>
      </c>
      <c r="AA285" s="31">
        <f>IF(AA284+AK285-Q285&lt;=0.01,0,ROUND(AA284+AK285-Q285,2))</f>
        <v>0.0</v>
      </c>
      <c r="AB285" s="31">
        <f>ROUND(R284*AB$5/1200,2)</f>
        <v>0.0</v>
      </c>
      <c r="AC285" s="31">
        <f>ROUND(S284*AC$5/1200,2)</f>
        <v>0.0</v>
      </c>
      <c r="AD285" s="31">
        <f>ROUND(T284*AD$5/1200,2)</f>
        <v>0.0</v>
      </c>
      <c r="AE285" s="31">
        <f>ROUND(U284*AE$5/1200,2)</f>
        <v>0.0</v>
      </c>
      <c r="AF285" s="31">
        <f>ROUND(V284*AF$5/1200,2)</f>
        <v>0.0</v>
      </c>
      <c r="AG285" s="31">
        <f>ROUND(W284*AG$5/1200,2)</f>
        <v>0.0</v>
      </c>
      <c r="AH285" s="31">
        <f>ROUND(X284*AH$5/1200,2)</f>
        <v>0.0</v>
      </c>
      <c r="AI285" s="31">
        <f>ROUND(Y284*AI$5/1200,2)</f>
        <v>0.0</v>
      </c>
      <c r="AJ285" s="31">
        <f>ROUND(Z284*AJ$5/1200,2)</f>
        <v>0.0</v>
      </c>
      <c r="AK285" s="31">
        <f>ROUND(AA284*AK$5/1200,2)</f>
        <v>0.0</v>
      </c>
      <c r="AL285" s="31">
        <f>MIN(AL$5,R284+AB285)</f>
        <v>0.0</v>
      </c>
      <c r="AM285" s="31">
        <f>MIN(AM$5,S284+AC285)</f>
        <v>0.0</v>
      </c>
      <c r="AN285" s="31">
        <f>MIN(AN$5,T284+AD285)</f>
        <v>0.0</v>
      </c>
      <c r="AO285" s="31">
        <f>MIN(AO$5,U284+AE285)</f>
        <v>0.0</v>
      </c>
      <c r="AP285" s="31">
        <f>MIN(AP$5,V284+AF285)</f>
        <v>0.0</v>
      </c>
      <c r="AQ285" s="31">
        <f>MIN(AQ$5,W284+AG285)</f>
        <v>0.0</v>
      </c>
      <c r="AR285" s="31">
        <f>MIN(AR$5,X284+AH285)</f>
        <v>0.0</v>
      </c>
      <c r="AS285" s="31">
        <f>MIN(AS$5,Y284+AI285)</f>
        <v>0.0</v>
      </c>
      <c r="AT285" s="31">
        <f>MIN(AT$5,Z284+AJ285)</f>
        <v>0.0</v>
      </c>
      <c r="AU285" s="31">
        <f>MIN(AU$5,AA284+AK285)</f>
        <v>0.0</v>
      </c>
    </row>
    <row r="286">
      <c r="A286" s="25" t="str">
        <f>IF(F285&gt;0.005,281,"")</f>
        <v/>
      </c>
      <c r="B286" s="33" t="str">
        <f>IF(A286="","",EDATE(Долги!$D$5,280))</f>
        <v/>
      </c>
      <c r="C286" s="31">
        <f>SUM(H286:Q286)</f>
        <v>0.0</v>
      </c>
      <c r="D286" s="31">
        <f>SUM(AB286:AK286)</f>
        <v>0.0</v>
      </c>
      <c r="E286" s="31">
        <f>C286-D286</f>
        <v>0.0</v>
      </c>
      <c r="F286" s="31">
        <f>SUM(R286:AA286)</f>
        <v>0.0</v>
      </c>
      <c r="G286" s="34" t="str">
        <f>IF(OR(A286="",$F$5&lt;=0),"",REPT("█",ROUND(20*F286/$F$5,0)))</f>
        <v/>
      </c>
      <c r="H286" s="31">
        <f>AL286+MIN(R285+AB286-AL286,MAX(0,ROUND(Долги!$D$19-SUM($AL286:$AU286),2)))</f>
        <v>0.0</v>
      </c>
      <c r="I286" s="31">
        <f>AM286+MIN(S285+AC286-AM286,MAX(0,ROUND(ROUND(Долги!$D$19-SUM($AL286:$AU286),2)-(SUM($H286:H286)-SUM($AL286:AL286)),2)))</f>
        <v>0.0</v>
      </c>
      <c r="J286" s="31">
        <f>AN286+MIN(T285+AD286-AN286,MAX(0,ROUND(ROUND(Долги!$D$19-SUM($AL286:$AU286),2)-(SUM($H286:I286)-SUM($AL286:AM286)),2)))</f>
        <v>0.0</v>
      </c>
      <c r="K286" s="31">
        <f>AO286+MIN(U285+AE286-AO286,MAX(0,ROUND(ROUND(Долги!$D$19-SUM($AL286:$AU286),2)-(SUM($H286:J286)-SUM($AL286:AN286)),2)))</f>
        <v>0.0</v>
      </c>
      <c r="L286" s="31">
        <f>AP286+MIN(V285+AF286-AP286,MAX(0,ROUND(ROUND(Долги!$D$19-SUM($AL286:$AU286),2)-(SUM($H286:K286)-SUM($AL286:AO286)),2)))</f>
        <v>0.0</v>
      </c>
      <c r="M286" s="31">
        <f>AQ286+MIN(W285+AG286-AQ286,MAX(0,ROUND(ROUND(Долги!$D$19-SUM($AL286:$AU286),2)-(SUM($H286:L286)-SUM($AL286:AP286)),2)))</f>
        <v>0.0</v>
      </c>
      <c r="N286" s="31">
        <f>AR286+MIN(X285+AH286-AR286,MAX(0,ROUND(ROUND(Долги!$D$19-SUM($AL286:$AU286),2)-(SUM($H286:M286)-SUM($AL286:AQ286)),2)))</f>
        <v>0.0</v>
      </c>
      <c r="O286" s="31">
        <f>AS286+MIN(Y285+AI286-AS286,MAX(0,ROUND(ROUND(Долги!$D$19-SUM($AL286:$AU286),2)-(SUM($H286:N286)-SUM($AL286:AR286)),2)))</f>
        <v>0.0</v>
      </c>
      <c r="P286" s="31">
        <f>AT286+MIN(Z285+AJ286-AT286,MAX(0,ROUND(ROUND(Долги!$D$19-SUM($AL286:$AU286),2)-(SUM($H286:O286)-SUM($AL286:AS286)),2)))</f>
        <v>0.0</v>
      </c>
      <c r="Q286" s="31">
        <f>AU286+MIN(AA285+AK286-AU286,MAX(0,ROUND(ROUND(Долги!$D$19-SUM($AL286:$AU286),2)-(SUM($H286:P286)-SUM($AL286:AT286)),2)))</f>
        <v>0.0</v>
      </c>
      <c r="R286" s="31">
        <f>IF(R285+AB286-H286&lt;=0.01,0,ROUND(R285+AB286-H286,2))</f>
        <v>0.0</v>
      </c>
      <c r="S286" s="31">
        <f>IF(S285+AC286-I286&lt;=0.01,0,ROUND(S285+AC286-I286,2))</f>
        <v>0.0</v>
      </c>
      <c r="T286" s="31">
        <f>IF(T285+AD286-J286&lt;=0.01,0,ROUND(T285+AD286-J286,2))</f>
        <v>0.0</v>
      </c>
      <c r="U286" s="31">
        <f>IF(U285+AE286-K286&lt;=0.01,0,ROUND(U285+AE286-K286,2))</f>
        <v>0.0</v>
      </c>
      <c r="V286" s="31">
        <f>IF(V285+AF286-L286&lt;=0.01,0,ROUND(V285+AF286-L286,2))</f>
        <v>0.0</v>
      </c>
      <c r="W286" s="31">
        <f>IF(W285+AG286-M286&lt;=0.01,0,ROUND(W285+AG286-M286,2))</f>
        <v>0.0</v>
      </c>
      <c r="X286" s="31">
        <f>IF(X285+AH286-N286&lt;=0.01,0,ROUND(X285+AH286-N286,2))</f>
        <v>0.0</v>
      </c>
      <c r="Y286" s="31">
        <f>IF(Y285+AI286-O286&lt;=0.01,0,ROUND(Y285+AI286-O286,2))</f>
        <v>0.0</v>
      </c>
      <c r="Z286" s="31">
        <f>IF(Z285+AJ286-P286&lt;=0.01,0,ROUND(Z285+AJ286-P286,2))</f>
        <v>0.0</v>
      </c>
      <c r="AA286" s="31">
        <f>IF(AA285+AK286-Q286&lt;=0.01,0,ROUND(AA285+AK286-Q286,2))</f>
        <v>0.0</v>
      </c>
      <c r="AB286" s="31">
        <f>ROUND(R285*AB$5/1200,2)</f>
        <v>0.0</v>
      </c>
      <c r="AC286" s="31">
        <f>ROUND(S285*AC$5/1200,2)</f>
        <v>0.0</v>
      </c>
      <c r="AD286" s="31">
        <f>ROUND(T285*AD$5/1200,2)</f>
        <v>0.0</v>
      </c>
      <c r="AE286" s="31">
        <f>ROUND(U285*AE$5/1200,2)</f>
        <v>0.0</v>
      </c>
      <c r="AF286" s="31">
        <f>ROUND(V285*AF$5/1200,2)</f>
        <v>0.0</v>
      </c>
      <c r="AG286" s="31">
        <f>ROUND(W285*AG$5/1200,2)</f>
        <v>0.0</v>
      </c>
      <c r="AH286" s="31">
        <f>ROUND(X285*AH$5/1200,2)</f>
        <v>0.0</v>
      </c>
      <c r="AI286" s="31">
        <f>ROUND(Y285*AI$5/1200,2)</f>
        <v>0.0</v>
      </c>
      <c r="AJ286" s="31">
        <f>ROUND(Z285*AJ$5/1200,2)</f>
        <v>0.0</v>
      </c>
      <c r="AK286" s="31">
        <f>ROUND(AA285*AK$5/1200,2)</f>
        <v>0.0</v>
      </c>
      <c r="AL286" s="31">
        <f>MIN(AL$5,R285+AB286)</f>
        <v>0.0</v>
      </c>
      <c r="AM286" s="31">
        <f>MIN(AM$5,S285+AC286)</f>
        <v>0.0</v>
      </c>
      <c r="AN286" s="31">
        <f>MIN(AN$5,T285+AD286)</f>
        <v>0.0</v>
      </c>
      <c r="AO286" s="31">
        <f>MIN(AO$5,U285+AE286)</f>
        <v>0.0</v>
      </c>
      <c r="AP286" s="31">
        <f>MIN(AP$5,V285+AF286)</f>
        <v>0.0</v>
      </c>
      <c r="AQ286" s="31">
        <f>MIN(AQ$5,W285+AG286)</f>
        <v>0.0</v>
      </c>
      <c r="AR286" s="31">
        <f>MIN(AR$5,X285+AH286)</f>
        <v>0.0</v>
      </c>
      <c r="AS286" s="31">
        <f>MIN(AS$5,Y285+AI286)</f>
        <v>0.0</v>
      </c>
      <c r="AT286" s="31">
        <f>MIN(AT$5,Z285+AJ286)</f>
        <v>0.0</v>
      </c>
      <c r="AU286" s="31">
        <f>MIN(AU$5,AA285+AK286)</f>
        <v>0.0</v>
      </c>
    </row>
    <row r="287">
      <c r="A287" s="25" t="str">
        <f>IF(F286&gt;0.005,282,"")</f>
        <v/>
      </c>
      <c r="B287" s="33" t="str">
        <f>IF(A287="","",EDATE(Долги!$D$5,281))</f>
        <v/>
      </c>
      <c r="C287" s="31">
        <f>SUM(H287:Q287)</f>
        <v>0.0</v>
      </c>
      <c r="D287" s="31">
        <f>SUM(AB287:AK287)</f>
        <v>0.0</v>
      </c>
      <c r="E287" s="31">
        <f>C287-D287</f>
        <v>0.0</v>
      </c>
      <c r="F287" s="31">
        <f>SUM(R287:AA287)</f>
        <v>0.0</v>
      </c>
      <c r="G287" s="34" t="str">
        <f>IF(OR(A287="",$F$5&lt;=0),"",REPT("█",ROUND(20*F287/$F$5,0)))</f>
        <v/>
      </c>
      <c r="H287" s="31">
        <f>AL287+MIN(R286+AB287-AL287,MAX(0,ROUND(Долги!$D$19-SUM($AL287:$AU287),2)))</f>
        <v>0.0</v>
      </c>
      <c r="I287" s="31">
        <f>AM287+MIN(S286+AC287-AM287,MAX(0,ROUND(ROUND(Долги!$D$19-SUM($AL287:$AU287),2)-(SUM($H287:H287)-SUM($AL287:AL287)),2)))</f>
        <v>0.0</v>
      </c>
      <c r="J287" s="31">
        <f>AN287+MIN(T286+AD287-AN287,MAX(0,ROUND(ROUND(Долги!$D$19-SUM($AL287:$AU287),2)-(SUM($H287:I287)-SUM($AL287:AM287)),2)))</f>
        <v>0.0</v>
      </c>
      <c r="K287" s="31">
        <f>AO287+MIN(U286+AE287-AO287,MAX(0,ROUND(ROUND(Долги!$D$19-SUM($AL287:$AU287),2)-(SUM($H287:J287)-SUM($AL287:AN287)),2)))</f>
        <v>0.0</v>
      </c>
      <c r="L287" s="31">
        <f>AP287+MIN(V286+AF287-AP287,MAX(0,ROUND(ROUND(Долги!$D$19-SUM($AL287:$AU287),2)-(SUM($H287:K287)-SUM($AL287:AO287)),2)))</f>
        <v>0.0</v>
      </c>
      <c r="M287" s="31">
        <f>AQ287+MIN(W286+AG287-AQ287,MAX(0,ROUND(ROUND(Долги!$D$19-SUM($AL287:$AU287),2)-(SUM($H287:L287)-SUM($AL287:AP287)),2)))</f>
        <v>0.0</v>
      </c>
      <c r="N287" s="31">
        <f>AR287+MIN(X286+AH287-AR287,MAX(0,ROUND(ROUND(Долги!$D$19-SUM($AL287:$AU287),2)-(SUM($H287:M287)-SUM($AL287:AQ287)),2)))</f>
        <v>0.0</v>
      </c>
      <c r="O287" s="31">
        <f>AS287+MIN(Y286+AI287-AS287,MAX(0,ROUND(ROUND(Долги!$D$19-SUM($AL287:$AU287),2)-(SUM($H287:N287)-SUM($AL287:AR287)),2)))</f>
        <v>0.0</v>
      </c>
      <c r="P287" s="31">
        <f>AT287+MIN(Z286+AJ287-AT287,MAX(0,ROUND(ROUND(Долги!$D$19-SUM($AL287:$AU287),2)-(SUM($H287:O287)-SUM($AL287:AS287)),2)))</f>
        <v>0.0</v>
      </c>
      <c r="Q287" s="31">
        <f>AU287+MIN(AA286+AK287-AU287,MAX(0,ROUND(ROUND(Долги!$D$19-SUM($AL287:$AU287),2)-(SUM($H287:P287)-SUM($AL287:AT287)),2)))</f>
        <v>0.0</v>
      </c>
      <c r="R287" s="31">
        <f>IF(R286+AB287-H287&lt;=0.01,0,ROUND(R286+AB287-H287,2))</f>
        <v>0.0</v>
      </c>
      <c r="S287" s="31">
        <f>IF(S286+AC287-I287&lt;=0.01,0,ROUND(S286+AC287-I287,2))</f>
        <v>0.0</v>
      </c>
      <c r="T287" s="31">
        <f>IF(T286+AD287-J287&lt;=0.01,0,ROUND(T286+AD287-J287,2))</f>
        <v>0.0</v>
      </c>
      <c r="U287" s="31">
        <f>IF(U286+AE287-K287&lt;=0.01,0,ROUND(U286+AE287-K287,2))</f>
        <v>0.0</v>
      </c>
      <c r="V287" s="31">
        <f>IF(V286+AF287-L287&lt;=0.01,0,ROUND(V286+AF287-L287,2))</f>
        <v>0.0</v>
      </c>
      <c r="W287" s="31">
        <f>IF(W286+AG287-M287&lt;=0.01,0,ROUND(W286+AG287-M287,2))</f>
        <v>0.0</v>
      </c>
      <c r="X287" s="31">
        <f>IF(X286+AH287-N287&lt;=0.01,0,ROUND(X286+AH287-N287,2))</f>
        <v>0.0</v>
      </c>
      <c r="Y287" s="31">
        <f>IF(Y286+AI287-O287&lt;=0.01,0,ROUND(Y286+AI287-O287,2))</f>
        <v>0.0</v>
      </c>
      <c r="Z287" s="31">
        <f>IF(Z286+AJ287-P287&lt;=0.01,0,ROUND(Z286+AJ287-P287,2))</f>
        <v>0.0</v>
      </c>
      <c r="AA287" s="31">
        <f>IF(AA286+AK287-Q287&lt;=0.01,0,ROUND(AA286+AK287-Q287,2))</f>
        <v>0.0</v>
      </c>
      <c r="AB287" s="31">
        <f>ROUND(R286*AB$5/1200,2)</f>
        <v>0.0</v>
      </c>
      <c r="AC287" s="31">
        <f>ROUND(S286*AC$5/1200,2)</f>
        <v>0.0</v>
      </c>
      <c r="AD287" s="31">
        <f>ROUND(T286*AD$5/1200,2)</f>
        <v>0.0</v>
      </c>
      <c r="AE287" s="31">
        <f>ROUND(U286*AE$5/1200,2)</f>
        <v>0.0</v>
      </c>
      <c r="AF287" s="31">
        <f>ROUND(V286*AF$5/1200,2)</f>
        <v>0.0</v>
      </c>
      <c r="AG287" s="31">
        <f>ROUND(W286*AG$5/1200,2)</f>
        <v>0.0</v>
      </c>
      <c r="AH287" s="31">
        <f>ROUND(X286*AH$5/1200,2)</f>
        <v>0.0</v>
      </c>
      <c r="AI287" s="31">
        <f>ROUND(Y286*AI$5/1200,2)</f>
        <v>0.0</v>
      </c>
      <c r="AJ287" s="31">
        <f>ROUND(Z286*AJ$5/1200,2)</f>
        <v>0.0</v>
      </c>
      <c r="AK287" s="31">
        <f>ROUND(AA286*AK$5/1200,2)</f>
        <v>0.0</v>
      </c>
      <c r="AL287" s="31">
        <f>MIN(AL$5,R286+AB287)</f>
        <v>0.0</v>
      </c>
      <c r="AM287" s="31">
        <f>MIN(AM$5,S286+AC287)</f>
        <v>0.0</v>
      </c>
      <c r="AN287" s="31">
        <f>MIN(AN$5,T286+AD287)</f>
        <v>0.0</v>
      </c>
      <c r="AO287" s="31">
        <f>MIN(AO$5,U286+AE287)</f>
        <v>0.0</v>
      </c>
      <c r="AP287" s="31">
        <f>MIN(AP$5,V286+AF287)</f>
        <v>0.0</v>
      </c>
      <c r="AQ287" s="31">
        <f>MIN(AQ$5,W286+AG287)</f>
        <v>0.0</v>
      </c>
      <c r="AR287" s="31">
        <f>MIN(AR$5,X286+AH287)</f>
        <v>0.0</v>
      </c>
      <c r="AS287" s="31">
        <f>MIN(AS$5,Y286+AI287)</f>
        <v>0.0</v>
      </c>
      <c r="AT287" s="31">
        <f>MIN(AT$5,Z286+AJ287)</f>
        <v>0.0</v>
      </c>
      <c r="AU287" s="31">
        <f>MIN(AU$5,AA286+AK287)</f>
        <v>0.0</v>
      </c>
    </row>
    <row r="288">
      <c r="A288" s="25" t="str">
        <f>IF(F287&gt;0.005,283,"")</f>
        <v/>
      </c>
      <c r="B288" s="33" t="str">
        <f>IF(A288="","",EDATE(Долги!$D$5,282))</f>
        <v/>
      </c>
      <c r="C288" s="31">
        <f>SUM(H288:Q288)</f>
        <v>0.0</v>
      </c>
      <c r="D288" s="31">
        <f>SUM(AB288:AK288)</f>
        <v>0.0</v>
      </c>
      <c r="E288" s="31">
        <f>C288-D288</f>
        <v>0.0</v>
      </c>
      <c r="F288" s="31">
        <f>SUM(R288:AA288)</f>
        <v>0.0</v>
      </c>
      <c r="G288" s="34" t="str">
        <f>IF(OR(A288="",$F$5&lt;=0),"",REPT("█",ROUND(20*F288/$F$5,0)))</f>
        <v/>
      </c>
      <c r="H288" s="31">
        <f>AL288+MIN(R287+AB288-AL288,MAX(0,ROUND(Долги!$D$19-SUM($AL288:$AU288),2)))</f>
        <v>0.0</v>
      </c>
      <c r="I288" s="31">
        <f>AM288+MIN(S287+AC288-AM288,MAX(0,ROUND(ROUND(Долги!$D$19-SUM($AL288:$AU288),2)-(SUM($H288:H288)-SUM($AL288:AL288)),2)))</f>
        <v>0.0</v>
      </c>
      <c r="J288" s="31">
        <f>AN288+MIN(T287+AD288-AN288,MAX(0,ROUND(ROUND(Долги!$D$19-SUM($AL288:$AU288),2)-(SUM($H288:I288)-SUM($AL288:AM288)),2)))</f>
        <v>0.0</v>
      </c>
      <c r="K288" s="31">
        <f>AO288+MIN(U287+AE288-AO288,MAX(0,ROUND(ROUND(Долги!$D$19-SUM($AL288:$AU288),2)-(SUM($H288:J288)-SUM($AL288:AN288)),2)))</f>
        <v>0.0</v>
      </c>
      <c r="L288" s="31">
        <f>AP288+MIN(V287+AF288-AP288,MAX(0,ROUND(ROUND(Долги!$D$19-SUM($AL288:$AU288),2)-(SUM($H288:K288)-SUM($AL288:AO288)),2)))</f>
        <v>0.0</v>
      </c>
      <c r="M288" s="31">
        <f>AQ288+MIN(W287+AG288-AQ288,MAX(0,ROUND(ROUND(Долги!$D$19-SUM($AL288:$AU288),2)-(SUM($H288:L288)-SUM($AL288:AP288)),2)))</f>
        <v>0.0</v>
      </c>
      <c r="N288" s="31">
        <f>AR288+MIN(X287+AH288-AR288,MAX(0,ROUND(ROUND(Долги!$D$19-SUM($AL288:$AU288),2)-(SUM($H288:M288)-SUM($AL288:AQ288)),2)))</f>
        <v>0.0</v>
      </c>
      <c r="O288" s="31">
        <f>AS288+MIN(Y287+AI288-AS288,MAX(0,ROUND(ROUND(Долги!$D$19-SUM($AL288:$AU288),2)-(SUM($H288:N288)-SUM($AL288:AR288)),2)))</f>
        <v>0.0</v>
      </c>
      <c r="P288" s="31">
        <f>AT288+MIN(Z287+AJ288-AT288,MAX(0,ROUND(ROUND(Долги!$D$19-SUM($AL288:$AU288),2)-(SUM($H288:O288)-SUM($AL288:AS288)),2)))</f>
        <v>0.0</v>
      </c>
      <c r="Q288" s="31">
        <f>AU288+MIN(AA287+AK288-AU288,MAX(0,ROUND(ROUND(Долги!$D$19-SUM($AL288:$AU288),2)-(SUM($H288:P288)-SUM($AL288:AT288)),2)))</f>
        <v>0.0</v>
      </c>
      <c r="R288" s="31">
        <f>IF(R287+AB288-H288&lt;=0.01,0,ROUND(R287+AB288-H288,2))</f>
        <v>0.0</v>
      </c>
      <c r="S288" s="31">
        <f>IF(S287+AC288-I288&lt;=0.01,0,ROUND(S287+AC288-I288,2))</f>
        <v>0.0</v>
      </c>
      <c r="T288" s="31">
        <f>IF(T287+AD288-J288&lt;=0.01,0,ROUND(T287+AD288-J288,2))</f>
        <v>0.0</v>
      </c>
      <c r="U288" s="31">
        <f>IF(U287+AE288-K288&lt;=0.01,0,ROUND(U287+AE288-K288,2))</f>
        <v>0.0</v>
      </c>
      <c r="V288" s="31">
        <f>IF(V287+AF288-L288&lt;=0.01,0,ROUND(V287+AF288-L288,2))</f>
        <v>0.0</v>
      </c>
      <c r="W288" s="31">
        <f>IF(W287+AG288-M288&lt;=0.01,0,ROUND(W287+AG288-M288,2))</f>
        <v>0.0</v>
      </c>
      <c r="X288" s="31">
        <f>IF(X287+AH288-N288&lt;=0.01,0,ROUND(X287+AH288-N288,2))</f>
        <v>0.0</v>
      </c>
      <c r="Y288" s="31">
        <f>IF(Y287+AI288-O288&lt;=0.01,0,ROUND(Y287+AI288-O288,2))</f>
        <v>0.0</v>
      </c>
      <c r="Z288" s="31">
        <f>IF(Z287+AJ288-P288&lt;=0.01,0,ROUND(Z287+AJ288-P288,2))</f>
        <v>0.0</v>
      </c>
      <c r="AA288" s="31">
        <f>IF(AA287+AK288-Q288&lt;=0.01,0,ROUND(AA287+AK288-Q288,2))</f>
        <v>0.0</v>
      </c>
      <c r="AB288" s="31">
        <f>ROUND(R287*AB$5/1200,2)</f>
        <v>0.0</v>
      </c>
      <c r="AC288" s="31">
        <f>ROUND(S287*AC$5/1200,2)</f>
        <v>0.0</v>
      </c>
      <c r="AD288" s="31">
        <f>ROUND(T287*AD$5/1200,2)</f>
        <v>0.0</v>
      </c>
      <c r="AE288" s="31">
        <f>ROUND(U287*AE$5/1200,2)</f>
        <v>0.0</v>
      </c>
      <c r="AF288" s="31">
        <f>ROUND(V287*AF$5/1200,2)</f>
        <v>0.0</v>
      </c>
      <c r="AG288" s="31">
        <f>ROUND(W287*AG$5/1200,2)</f>
        <v>0.0</v>
      </c>
      <c r="AH288" s="31">
        <f>ROUND(X287*AH$5/1200,2)</f>
        <v>0.0</v>
      </c>
      <c r="AI288" s="31">
        <f>ROUND(Y287*AI$5/1200,2)</f>
        <v>0.0</v>
      </c>
      <c r="AJ288" s="31">
        <f>ROUND(Z287*AJ$5/1200,2)</f>
        <v>0.0</v>
      </c>
      <c r="AK288" s="31">
        <f>ROUND(AA287*AK$5/1200,2)</f>
        <v>0.0</v>
      </c>
      <c r="AL288" s="31">
        <f>MIN(AL$5,R287+AB288)</f>
        <v>0.0</v>
      </c>
      <c r="AM288" s="31">
        <f>MIN(AM$5,S287+AC288)</f>
        <v>0.0</v>
      </c>
      <c r="AN288" s="31">
        <f>MIN(AN$5,T287+AD288)</f>
        <v>0.0</v>
      </c>
      <c r="AO288" s="31">
        <f>MIN(AO$5,U287+AE288)</f>
        <v>0.0</v>
      </c>
      <c r="AP288" s="31">
        <f>MIN(AP$5,V287+AF288)</f>
        <v>0.0</v>
      </c>
      <c r="AQ288" s="31">
        <f>MIN(AQ$5,W287+AG288)</f>
        <v>0.0</v>
      </c>
      <c r="AR288" s="31">
        <f>MIN(AR$5,X287+AH288)</f>
        <v>0.0</v>
      </c>
      <c r="AS288" s="31">
        <f>MIN(AS$5,Y287+AI288)</f>
        <v>0.0</v>
      </c>
      <c r="AT288" s="31">
        <f>MIN(AT$5,Z287+AJ288)</f>
        <v>0.0</v>
      </c>
      <c r="AU288" s="31">
        <f>MIN(AU$5,AA287+AK288)</f>
        <v>0.0</v>
      </c>
    </row>
    <row r="289">
      <c r="A289" s="25" t="str">
        <f>IF(F288&gt;0.005,284,"")</f>
        <v/>
      </c>
      <c r="B289" s="33" t="str">
        <f>IF(A289="","",EDATE(Долги!$D$5,283))</f>
        <v/>
      </c>
      <c r="C289" s="31">
        <f>SUM(H289:Q289)</f>
        <v>0.0</v>
      </c>
      <c r="D289" s="31">
        <f>SUM(AB289:AK289)</f>
        <v>0.0</v>
      </c>
      <c r="E289" s="31">
        <f>C289-D289</f>
        <v>0.0</v>
      </c>
      <c r="F289" s="31">
        <f>SUM(R289:AA289)</f>
        <v>0.0</v>
      </c>
      <c r="G289" s="34" t="str">
        <f>IF(OR(A289="",$F$5&lt;=0),"",REPT("█",ROUND(20*F289/$F$5,0)))</f>
        <v/>
      </c>
      <c r="H289" s="31">
        <f>AL289+MIN(R288+AB289-AL289,MAX(0,ROUND(Долги!$D$19-SUM($AL289:$AU289),2)))</f>
        <v>0.0</v>
      </c>
      <c r="I289" s="31">
        <f>AM289+MIN(S288+AC289-AM289,MAX(0,ROUND(ROUND(Долги!$D$19-SUM($AL289:$AU289),2)-(SUM($H289:H289)-SUM($AL289:AL289)),2)))</f>
        <v>0.0</v>
      </c>
      <c r="J289" s="31">
        <f>AN289+MIN(T288+AD289-AN289,MAX(0,ROUND(ROUND(Долги!$D$19-SUM($AL289:$AU289),2)-(SUM($H289:I289)-SUM($AL289:AM289)),2)))</f>
        <v>0.0</v>
      </c>
      <c r="K289" s="31">
        <f>AO289+MIN(U288+AE289-AO289,MAX(0,ROUND(ROUND(Долги!$D$19-SUM($AL289:$AU289),2)-(SUM($H289:J289)-SUM($AL289:AN289)),2)))</f>
        <v>0.0</v>
      </c>
      <c r="L289" s="31">
        <f>AP289+MIN(V288+AF289-AP289,MAX(0,ROUND(ROUND(Долги!$D$19-SUM($AL289:$AU289),2)-(SUM($H289:K289)-SUM($AL289:AO289)),2)))</f>
        <v>0.0</v>
      </c>
      <c r="M289" s="31">
        <f>AQ289+MIN(W288+AG289-AQ289,MAX(0,ROUND(ROUND(Долги!$D$19-SUM($AL289:$AU289),2)-(SUM($H289:L289)-SUM($AL289:AP289)),2)))</f>
        <v>0.0</v>
      </c>
      <c r="N289" s="31">
        <f>AR289+MIN(X288+AH289-AR289,MAX(0,ROUND(ROUND(Долги!$D$19-SUM($AL289:$AU289),2)-(SUM($H289:M289)-SUM($AL289:AQ289)),2)))</f>
        <v>0.0</v>
      </c>
      <c r="O289" s="31">
        <f>AS289+MIN(Y288+AI289-AS289,MAX(0,ROUND(ROUND(Долги!$D$19-SUM($AL289:$AU289),2)-(SUM($H289:N289)-SUM($AL289:AR289)),2)))</f>
        <v>0.0</v>
      </c>
      <c r="P289" s="31">
        <f>AT289+MIN(Z288+AJ289-AT289,MAX(0,ROUND(ROUND(Долги!$D$19-SUM($AL289:$AU289),2)-(SUM($H289:O289)-SUM($AL289:AS289)),2)))</f>
        <v>0.0</v>
      </c>
      <c r="Q289" s="31">
        <f>AU289+MIN(AA288+AK289-AU289,MAX(0,ROUND(ROUND(Долги!$D$19-SUM($AL289:$AU289),2)-(SUM($H289:P289)-SUM($AL289:AT289)),2)))</f>
        <v>0.0</v>
      </c>
      <c r="R289" s="31">
        <f>IF(R288+AB289-H289&lt;=0.01,0,ROUND(R288+AB289-H289,2))</f>
        <v>0.0</v>
      </c>
      <c r="S289" s="31">
        <f>IF(S288+AC289-I289&lt;=0.01,0,ROUND(S288+AC289-I289,2))</f>
        <v>0.0</v>
      </c>
      <c r="T289" s="31">
        <f>IF(T288+AD289-J289&lt;=0.01,0,ROUND(T288+AD289-J289,2))</f>
        <v>0.0</v>
      </c>
      <c r="U289" s="31">
        <f>IF(U288+AE289-K289&lt;=0.01,0,ROUND(U288+AE289-K289,2))</f>
        <v>0.0</v>
      </c>
      <c r="V289" s="31">
        <f>IF(V288+AF289-L289&lt;=0.01,0,ROUND(V288+AF289-L289,2))</f>
        <v>0.0</v>
      </c>
      <c r="W289" s="31">
        <f>IF(W288+AG289-M289&lt;=0.01,0,ROUND(W288+AG289-M289,2))</f>
        <v>0.0</v>
      </c>
      <c r="X289" s="31">
        <f>IF(X288+AH289-N289&lt;=0.01,0,ROUND(X288+AH289-N289,2))</f>
        <v>0.0</v>
      </c>
      <c r="Y289" s="31">
        <f>IF(Y288+AI289-O289&lt;=0.01,0,ROUND(Y288+AI289-O289,2))</f>
        <v>0.0</v>
      </c>
      <c r="Z289" s="31">
        <f>IF(Z288+AJ289-P289&lt;=0.01,0,ROUND(Z288+AJ289-P289,2))</f>
        <v>0.0</v>
      </c>
      <c r="AA289" s="31">
        <f>IF(AA288+AK289-Q289&lt;=0.01,0,ROUND(AA288+AK289-Q289,2))</f>
        <v>0.0</v>
      </c>
      <c r="AB289" s="31">
        <f>ROUND(R288*AB$5/1200,2)</f>
        <v>0.0</v>
      </c>
      <c r="AC289" s="31">
        <f>ROUND(S288*AC$5/1200,2)</f>
        <v>0.0</v>
      </c>
      <c r="AD289" s="31">
        <f>ROUND(T288*AD$5/1200,2)</f>
        <v>0.0</v>
      </c>
      <c r="AE289" s="31">
        <f>ROUND(U288*AE$5/1200,2)</f>
        <v>0.0</v>
      </c>
      <c r="AF289" s="31">
        <f>ROUND(V288*AF$5/1200,2)</f>
        <v>0.0</v>
      </c>
      <c r="AG289" s="31">
        <f>ROUND(W288*AG$5/1200,2)</f>
        <v>0.0</v>
      </c>
      <c r="AH289" s="31">
        <f>ROUND(X288*AH$5/1200,2)</f>
        <v>0.0</v>
      </c>
      <c r="AI289" s="31">
        <f>ROUND(Y288*AI$5/1200,2)</f>
        <v>0.0</v>
      </c>
      <c r="AJ289" s="31">
        <f>ROUND(Z288*AJ$5/1200,2)</f>
        <v>0.0</v>
      </c>
      <c r="AK289" s="31">
        <f>ROUND(AA288*AK$5/1200,2)</f>
        <v>0.0</v>
      </c>
      <c r="AL289" s="31">
        <f>MIN(AL$5,R288+AB289)</f>
        <v>0.0</v>
      </c>
      <c r="AM289" s="31">
        <f>MIN(AM$5,S288+AC289)</f>
        <v>0.0</v>
      </c>
      <c r="AN289" s="31">
        <f>MIN(AN$5,T288+AD289)</f>
        <v>0.0</v>
      </c>
      <c r="AO289" s="31">
        <f>MIN(AO$5,U288+AE289)</f>
        <v>0.0</v>
      </c>
      <c r="AP289" s="31">
        <f>MIN(AP$5,V288+AF289)</f>
        <v>0.0</v>
      </c>
      <c r="AQ289" s="31">
        <f>MIN(AQ$5,W288+AG289)</f>
        <v>0.0</v>
      </c>
      <c r="AR289" s="31">
        <f>MIN(AR$5,X288+AH289)</f>
        <v>0.0</v>
      </c>
      <c r="AS289" s="31">
        <f>MIN(AS$5,Y288+AI289)</f>
        <v>0.0</v>
      </c>
      <c r="AT289" s="31">
        <f>MIN(AT$5,Z288+AJ289)</f>
        <v>0.0</v>
      </c>
      <c r="AU289" s="31">
        <f>MIN(AU$5,AA288+AK289)</f>
        <v>0.0</v>
      </c>
    </row>
    <row r="290">
      <c r="A290" s="25" t="str">
        <f>IF(F289&gt;0.005,285,"")</f>
        <v/>
      </c>
      <c r="B290" s="33" t="str">
        <f>IF(A290="","",EDATE(Долги!$D$5,284))</f>
        <v/>
      </c>
      <c r="C290" s="31">
        <f>SUM(H290:Q290)</f>
        <v>0.0</v>
      </c>
      <c r="D290" s="31">
        <f>SUM(AB290:AK290)</f>
        <v>0.0</v>
      </c>
      <c r="E290" s="31">
        <f>C290-D290</f>
        <v>0.0</v>
      </c>
      <c r="F290" s="31">
        <f>SUM(R290:AA290)</f>
        <v>0.0</v>
      </c>
      <c r="G290" s="34" t="str">
        <f>IF(OR(A290="",$F$5&lt;=0),"",REPT("█",ROUND(20*F290/$F$5,0)))</f>
        <v/>
      </c>
      <c r="H290" s="31">
        <f>AL290+MIN(R289+AB290-AL290,MAX(0,ROUND(Долги!$D$19-SUM($AL290:$AU290),2)))</f>
        <v>0.0</v>
      </c>
      <c r="I290" s="31">
        <f>AM290+MIN(S289+AC290-AM290,MAX(0,ROUND(ROUND(Долги!$D$19-SUM($AL290:$AU290),2)-(SUM($H290:H290)-SUM($AL290:AL290)),2)))</f>
        <v>0.0</v>
      </c>
      <c r="J290" s="31">
        <f>AN290+MIN(T289+AD290-AN290,MAX(0,ROUND(ROUND(Долги!$D$19-SUM($AL290:$AU290),2)-(SUM($H290:I290)-SUM($AL290:AM290)),2)))</f>
        <v>0.0</v>
      </c>
      <c r="K290" s="31">
        <f>AO290+MIN(U289+AE290-AO290,MAX(0,ROUND(ROUND(Долги!$D$19-SUM($AL290:$AU290),2)-(SUM($H290:J290)-SUM($AL290:AN290)),2)))</f>
        <v>0.0</v>
      </c>
      <c r="L290" s="31">
        <f>AP290+MIN(V289+AF290-AP290,MAX(0,ROUND(ROUND(Долги!$D$19-SUM($AL290:$AU290),2)-(SUM($H290:K290)-SUM($AL290:AO290)),2)))</f>
        <v>0.0</v>
      </c>
      <c r="M290" s="31">
        <f>AQ290+MIN(W289+AG290-AQ290,MAX(0,ROUND(ROUND(Долги!$D$19-SUM($AL290:$AU290),2)-(SUM($H290:L290)-SUM($AL290:AP290)),2)))</f>
        <v>0.0</v>
      </c>
      <c r="N290" s="31">
        <f>AR290+MIN(X289+AH290-AR290,MAX(0,ROUND(ROUND(Долги!$D$19-SUM($AL290:$AU290),2)-(SUM($H290:M290)-SUM($AL290:AQ290)),2)))</f>
        <v>0.0</v>
      </c>
      <c r="O290" s="31">
        <f>AS290+MIN(Y289+AI290-AS290,MAX(0,ROUND(ROUND(Долги!$D$19-SUM($AL290:$AU290),2)-(SUM($H290:N290)-SUM($AL290:AR290)),2)))</f>
        <v>0.0</v>
      </c>
      <c r="P290" s="31">
        <f>AT290+MIN(Z289+AJ290-AT290,MAX(0,ROUND(ROUND(Долги!$D$19-SUM($AL290:$AU290),2)-(SUM($H290:O290)-SUM($AL290:AS290)),2)))</f>
        <v>0.0</v>
      </c>
      <c r="Q290" s="31">
        <f>AU290+MIN(AA289+AK290-AU290,MAX(0,ROUND(ROUND(Долги!$D$19-SUM($AL290:$AU290),2)-(SUM($H290:P290)-SUM($AL290:AT290)),2)))</f>
        <v>0.0</v>
      </c>
      <c r="R290" s="31">
        <f>IF(R289+AB290-H290&lt;=0.01,0,ROUND(R289+AB290-H290,2))</f>
        <v>0.0</v>
      </c>
      <c r="S290" s="31">
        <f>IF(S289+AC290-I290&lt;=0.01,0,ROUND(S289+AC290-I290,2))</f>
        <v>0.0</v>
      </c>
      <c r="T290" s="31">
        <f>IF(T289+AD290-J290&lt;=0.01,0,ROUND(T289+AD290-J290,2))</f>
        <v>0.0</v>
      </c>
      <c r="U290" s="31">
        <f>IF(U289+AE290-K290&lt;=0.01,0,ROUND(U289+AE290-K290,2))</f>
        <v>0.0</v>
      </c>
      <c r="V290" s="31">
        <f>IF(V289+AF290-L290&lt;=0.01,0,ROUND(V289+AF290-L290,2))</f>
        <v>0.0</v>
      </c>
      <c r="W290" s="31">
        <f>IF(W289+AG290-M290&lt;=0.01,0,ROUND(W289+AG290-M290,2))</f>
        <v>0.0</v>
      </c>
      <c r="X290" s="31">
        <f>IF(X289+AH290-N290&lt;=0.01,0,ROUND(X289+AH290-N290,2))</f>
        <v>0.0</v>
      </c>
      <c r="Y290" s="31">
        <f>IF(Y289+AI290-O290&lt;=0.01,0,ROUND(Y289+AI290-O290,2))</f>
        <v>0.0</v>
      </c>
      <c r="Z290" s="31">
        <f>IF(Z289+AJ290-P290&lt;=0.01,0,ROUND(Z289+AJ290-P290,2))</f>
        <v>0.0</v>
      </c>
      <c r="AA290" s="31">
        <f>IF(AA289+AK290-Q290&lt;=0.01,0,ROUND(AA289+AK290-Q290,2))</f>
        <v>0.0</v>
      </c>
      <c r="AB290" s="31">
        <f>ROUND(R289*AB$5/1200,2)</f>
        <v>0.0</v>
      </c>
      <c r="AC290" s="31">
        <f>ROUND(S289*AC$5/1200,2)</f>
        <v>0.0</v>
      </c>
      <c r="AD290" s="31">
        <f>ROUND(T289*AD$5/1200,2)</f>
        <v>0.0</v>
      </c>
      <c r="AE290" s="31">
        <f>ROUND(U289*AE$5/1200,2)</f>
        <v>0.0</v>
      </c>
      <c r="AF290" s="31">
        <f>ROUND(V289*AF$5/1200,2)</f>
        <v>0.0</v>
      </c>
      <c r="AG290" s="31">
        <f>ROUND(W289*AG$5/1200,2)</f>
        <v>0.0</v>
      </c>
      <c r="AH290" s="31">
        <f>ROUND(X289*AH$5/1200,2)</f>
        <v>0.0</v>
      </c>
      <c r="AI290" s="31">
        <f>ROUND(Y289*AI$5/1200,2)</f>
        <v>0.0</v>
      </c>
      <c r="AJ290" s="31">
        <f>ROUND(Z289*AJ$5/1200,2)</f>
        <v>0.0</v>
      </c>
      <c r="AK290" s="31">
        <f>ROUND(AA289*AK$5/1200,2)</f>
        <v>0.0</v>
      </c>
      <c r="AL290" s="31">
        <f>MIN(AL$5,R289+AB290)</f>
        <v>0.0</v>
      </c>
      <c r="AM290" s="31">
        <f>MIN(AM$5,S289+AC290)</f>
        <v>0.0</v>
      </c>
      <c r="AN290" s="31">
        <f>MIN(AN$5,T289+AD290)</f>
        <v>0.0</v>
      </c>
      <c r="AO290" s="31">
        <f>MIN(AO$5,U289+AE290)</f>
        <v>0.0</v>
      </c>
      <c r="AP290" s="31">
        <f>MIN(AP$5,V289+AF290)</f>
        <v>0.0</v>
      </c>
      <c r="AQ290" s="31">
        <f>MIN(AQ$5,W289+AG290)</f>
        <v>0.0</v>
      </c>
      <c r="AR290" s="31">
        <f>MIN(AR$5,X289+AH290)</f>
        <v>0.0</v>
      </c>
      <c r="AS290" s="31">
        <f>MIN(AS$5,Y289+AI290)</f>
        <v>0.0</v>
      </c>
      <c r="AT290" s="31">
        <f>MIN(AT$5,Z289+AJ290)</f>
        <v>0.0</v>
      </c>
      <c r="AU290" s="31">
        <f>MIN(AU$5,AA289+AK290)</f>
        <v>0.0</v>
      </c>
    </row>
    <row r="291">
      <c r="A291" s="25" t="str">
        <f>IF(F290&gt;0.005,286,"")</f>
        <v/>
      </c>
      <c r="B291" s="33" t="str">
        <f>IF(A291="","",EDATE(Долги!$D$5,285))</f>
        <v/>
      </c>
      <c r="C291" s="31">
        <f>SUM(H291:Q291)</f>
        <v>0.0</v>
      </c>
      <c r="D291" s="31">
        <f>SUM(AB291:AK291)</f>
        <v>0.0</v>
      </c>
      <c r="E291" s="31">
        <f>C291-D291</f>
        <v>0.0</v>
      </c>
      <c r="F291" s="31">
        <f>SUM(R291:AA291)</f>
        <v>0.0</v>
      </c>
      <c r="G291" s="34" t="str">
        <f>IF(OR(A291="",$F$5&lt;=0),"",REPT("█",ROUND(20*F291/$F$5,0)))</f>
        <v/>
      </c>
      <c r="H291" s="31">
        <f>AL291+MIN(R290+AB291-AL291,MAX(0,ROUND(Долги!$D$19-SUM($AL291:$AU291),2)))</f>
        <v>0.0</v>
      </c>
      <c r="I291" s="31">
        <f>AM291+MIN(S290+AC291-AM291,MAX(0,ROUND(ROUND(Долги!$D$19-SUM($AL291:$AU291),2)-(SUM($H291:H291)-SUM($AL291:AL291)),2)))</f>
        <v>0.0</v>
      </c>
      <c r="J291" s="31">
        <f>AN291+MIN(T290+AD291-AN291,MAX(0,ROUND(ROUND(Долги!$D$19-SUM($AL291:$AU291),2)-(SUM($H291:I291)-SUM($AL291:AM291)),2)))</f>
        <v>0.0</v>
      </c>
      <c r="K291" s="31">
        <f>AO291+MIN(U290+AE291-AO291,MAX(0,ROUND(ROUND(Долги!$D$19-SUM($AL291:$AU291),2)-(SUM($H291:J291)-SUM($AL291:AN291)),2)))</f>
        <v>0.0</v>
      </c>
      <c r="L291" s="31">
        <f>AP291+MIN(V290+AF291-AP291,MAX(0,ROUND(ROUND(Долги!$D$19-SUM($AL291:$AU291),2)-(SUM($H291:K291)-SUM($AL291:AO291)),2)))</f>
        <v>0.0</v>
      </c>
      <c r="M291" s="31">
        <f>AQ291+MIN(W290+AG291-AQ291,MAX(0,ROUND(ROUND(Долги!$D$19-SUM($AL291:$AU291),2)-(SUM($H291:L291)-SUM($AL291:AP291)),2)))</f>
        <v>0.0</v>
      </c>
      <c r="N291" s="31">
        <f>AR291+MIN(X290+AH291-AR291,MAX(0,ROUND(ROUND(Долги!$D$19-SUM($AL291:$AU291),2)-(SUM($H291:M291)-SUM($AL291:AQ291)),2)))</f>
        <v>0.0</v>
      </c>
      <c r="O291" s="31">
        <f>AS291+MIN(Y290+AI291-AS291,MAX(0,ROUND(ROUND(Долги!$D$19-SUM($AL291:$AU291),2)-(SUM($H291:N291)-SUM($AL291:AR291)),2)))</f>
        <v>0.0</v>
      </c>
      <c r="P291" s="31">
        <f>AT291+MIN(Z290+AJ291-AT291,MAX(0,ROUND(ROUND(Долги!$D$19-SUM($AL291:$AU291),2)-(SUM($H291:O291)-SUM($AL291:AS291)),2)))</f>
        <v>0.0</v>
      </c>
      <c r="Q291" s="31">
        <f>AU291+MIN(AA290+AK291-AU291,MAX(0,ROUND(ROUND(Долги!$D$19-SUM($AL291:$AU291),2)-(SUM($H291:P291)-SUM($AL291:AT291)),2)))</f>
        <v>0.0</v>
      </c>
      <c r="R291" s="31">
        <f>IF(R290+AB291-H291&lt;=0.01,0,ROUND(R290+AB291-H291,2))</f>
        <v>0.0</v>
      </c>
      <c r="S291" s="31">
        <f>IF(S290+AC291-I291&lt;=0.01,0,ROUND(S290+AC291-I291,2))</f>
        <v>0.0</v>
      </c>
      <c r="T291" s="31">
        <f>IF(T290+AD291-J291&lt;=0.01,0,ROUND(T290+AD291-J291,2))</f>
        <v>0.0</v>
      </c>
      <c r="U291" s="31">
        <f>IF(U290+AE291-K291&lt;=0.01,0,ROUND(U290+AE291-K291,2))</f>
        <v>0.0</v>
      </c>
      <c r="V291" s="31">
        <f>IF(V290+AF291-L291&lt;=0.01,0,ROUND(V290+AF291-L291,2))</f>
        <v>0.0</v>
      </c>
      <c r="W291" s="31">
        <f>IF(W290+AG291-M291&lt;=0.01,0,ROUND(W290+AG291-M291,2))</f>
        <v>0.0</v>
      </c>
      <c r="X291" s="31">
        <f>IF(X290+AH291-N291&lt;=0.01,0,ROUND(X290+AH291-N291,2))</f>
        <v>0.0</v>
      </c>
      <c r="Y291" s="31">
        <f>IF(Y290+AI291-O291&lt;=0.01,0,ROUND(Y290+AI291-O291,2))</f>
        <v>0.0</v>
      </c>
      <c r="Z291" s="31">
        <f>IF(Z290+AJ291-P291&lt;=0.01,0,ROUND(Z290+AJ291-P291,2))</f>
        <v>0.0</v>
      </c>
      <c r="AA291" s="31">
        <f>IF(AA290+AK291-Q291&lt;=0.01,0,ROUND(AA290+AK291-Q291,2))</f>
        <v>0.0</v>
      </c>
      <c r="AB291" s="31">
        <f>ROUND(R290*AB$5/1200,2)</f>
        <v>0.0</v>
      </c>
      <c r="AC291" s="31">
        <f>ROUND(S290*AC$5/1200,2)</f>
        <v>0.0</v>
      </c>
      <c r="AD291" s="31">
        <f>ROUND(T290*AD$5/1200,2)</f>
        <v>0.0</v>
      </c>
      <c r="AE291" s="31">
        <f>ROUND(U290*AE$5/1200,2)</f>
        <v>0.0</v>
      </c>
      <c r="AF291" s="31">
        <f>ROUND(V290*AF$5/1200,2)</f>
        <v>0.0</v>
      </c>
      <c r="AG291" s="31">
        <f>ROUND(W290*AG$5/1200,2)</f>
        <v>0.0</v>
      </c>
      <c r="AH291" s="31">
        <f>ROUND(X290*AH$5/1200,2)</f>
        <v>0.0</v>
      </c>
      <c r="AI291" s="31">
        <f>ROUND(Y290*AI$5/1200,2)</f>
        <v>0.0</v>
      </c>
      <c r="AJ291" s="31">
        <f>ROUND(Z290*AJ$5/1200,2)</f>
        <v>0.0</v>
      </c>
      <c r="AK291" s="31">
        <f>ROUND(AA290*AK$5/1200,2)</f>
        <v>0.0</v>
      </c>
      <c r="AL291" s="31">
        <f>MIN(AL$5,R290+AB291)</f>
        <v>0.0</v>
      </c>
      <c r="AM291" s="31">
        <f>MIN(AM$5,S290+AC291)</f>
        <v>0.0</v>
      </c>
      <c r="AN291" s="31">
        <f>MIN(AN$5,T290+AD291)</f>
        <v>0.0</v>
      </c>
      <c r="AO291" s="31">
        <f>MIN(AO$5,U290+AE291)</f>
        <v>0.0</v>
      </c>
      <c r="AP291" s="31">
        <f>MIN(AP$5,V290+AF291)</f>
        <v>0.0</v>
      </c>
      <c r="AQ291" s="31">
        <f>MIN(AQ$5,W290+AG291)</f>
        <v>0.0</v>
      </c>
      <c r="AR291" s="31">
        <f>MIN(AR$5,X290+AH291)</f>
        <v>0.0</v>
      </c>
      <c r="AS291" s="31">
        <f>MIN(AS$5,Y290+AI291)</f>
        <v>0.0</v>
      </c>
      <c r="AT291" s="31">
        <f>MIN(AT$5,Z290+AJ291)</f>
        <v>0.0</v>
      </c>
      <c r="AU291" s="31">
        <f>MIN(AU$5,AA290+AK291)</f>
        <v>0.0</v>
      </c>
    </row>
    <row r="292">
      <c r="A292" s="25" t="str">
        <f>IF(F291&gt;0.005,287,"")</f>
        <v/>
      </c>
      <c r="B292" s="33" t="str">
        <f>IF(A292="","",EDATE(Долги!$D$5,286))</f>
        <v/>
      </c>
      <c r="C292" s="31">
        <f>SUM(H292:Q292)</f>
        <v>0.0</v>
      </c>
      <c r="D292" s="31">
        <f>SUM(AB292:AK292)</f>
        <v>0.0</v>
      </c>
      <c r="E292" s="31">
        <f>C292-D292</f>
        <v>0.0</v>
      </c>
      <c r="F292" s="31">
        <f>SUM(R292:AA292)</f>
        <v>0.0</v>
      </c>
      <c r="G292" s="34" t="str">
        <f>IF(OR(A292="",$F$5&lt;=0),"",REPT("█",ROUND(20*F292/$F$5,0)))</f>
        <v/>
      </c>
      <c r="H292" s="31">
        <f>AL292+MIN(R291+AB292-AL292,MAX(0,ROUND(Долги!$D$19-SUM($AL292:$AU292),2)))</f>
        <v>0.0</v>
      </c>
      <c r="I292" s="31">
        <f>AM292+MIN(S291+AC292-AM292,MAX(0,ROUND(ROUND(Долги!$D$19-SUM($AL292:$AU292),2)-(SUM($H292:H292)-SUM($AL292:AL292)),2)))</f>
        <v>0.0</v>
      </c>
      <c r="J292" s="31">
        <f>AN292+MIN(T291+AD292-AN292,MAX(0,ROUND(ROUND(Долги!$D$19-SUM($AL292:$AU292),2)-(SUM($H292:I292)-SUM($AL292:AM292)),2)))</f>
        <v>0.0</v>
      </c>
      <c r="K292" s="31">
        <f>AO292+MIN(U291+AE292-AO292,MAX(0,ROUND(ROUND(Долги!$D$19-SUM($AL292:$AU292),2)-(SUM($H292:J292)-SUM($AL292:AN292)),2)))</f>
        <v>0.0</v>
      </c>
      <c r="L292" s="31">
        <f>AP292+MIN(V291+AF292-AP292,MAX(0,ROUND(ROUND(Долги!$D$19-SUM($AL292:$AU292),2)-(SUM($H292:K292)-SUM($AL292:AO292)),2)))</f>
        <v>0.0</v>
      </c>
      <c r="M292" s="31">
        <f>AQ292+MIN(W291+AG292-AQ292,MAX(0,ROUND(ROUND(Долги!$D$19-SUM($AL292:$AU292),2)-(SUM($H292:L292)-SUM($AL292:AP292)),2)))</f>
        <v>0.0</v>
      </c>
      <c r="N292" s="31">
        <f>AR292+MIN(X291+AH292-AR292,MAX(0,ROUND(ROUND(Долги!$D$19-SUM($AL292:$AU292),2)-(SUM($H292:M292)-SUM($AL292:AQ292)),2)))</f>
        <v>0.0</v>
      </c>
      <c r="O292" s="31">
        <f>AS292+MIN(Y291+AI292-AS292,MAX(0,ROUND(ROUND(Долги!$D$19-SUM($AL292:$AU292),2)-(SUM($H292:N292)-SUM($AL292:AR292)),2)))</f>
        <v>0.0</v>
      </c>
      <c r="P292" s="31">
        <f>AT292+MIN(Z291+AJ292-AT292,MAX(0,ROUND(ROUND(Долги!$D$19-SUM($AL292:$AU292),2)-(SUM($H292:O292)-SUM($AL292:AS292)),2)))</f>
        <v>0.0</v>
      </c>
      <c r="Q292" s="31">
        <f>AU292+MIN(AA291+AK292-AU292,MAX(0,ROUND(ROUND(Долги!$D$19-SUM($AL292:$AU292),2)-(SUM($H292:P292)-SUM($AL292:AT292)),2)))</f>
        <v>0.0</v>
      </c>
      <c r="R292" s="31">
        <f>IF(R291+AB292-H292&lt;=0.01,0,ROUND(R291+AB292-H292,2))</f>
        <v>0.0</v>
      </c>
      <c r="S292" s="31">
        <f>IF(S291+AC292-I292&lt;=0.01,0,ROUND(S291+AC292-I292,2))</f>
        <v>0.0</v>
      </c>
      <c r="T292" s="31">
        <f>IF(T291+AD292-J292&lt;=0.01,0,ROUND(T291+AD292-J292,2))</f>
        <v>0.0</v>
      </c>
      <c r="U292" s="31">
        <f>IF(U291+AE292-K292&lt;=0.01,0,ROUND(U291+AE292-K292,2))</f>
        <v>0.0</v>
      </c>
      <c r="V292" s="31">
        <f>IF(V291+AF292-L292&lt;=0.01,0,ROUND(V291+AF292-L292,2))</f>
        <v>0.0</v>
      </c>
      <c r="W292" s="31">
        <f>IF(W291+AG292-M292&lt;=0.01,0,ROUND(W291+AG292-M292,2))</f>
        <v>0.0</v>
      </c>
      <c r="X292" s="31">
        <f>IF(X291+AH292-N292&lt;=0.01,0,ROUND(X291+AH292-N292,2))</f>
        <v>0.0</v>
      </c>
      <c r="Y292" s="31">
        <f>IF(Y291+AI292-O292&lt;=0.01,0,ROUND(Y291+AI292-O292,2))</f>
        <v>0.0</v>
      </c>
      <c r="Z292" s="31">
        <f>IF(Z291+AJ292-P292&lt;=0.01,0,ROUND(Z291+AJ292-P292,2))</f>
        <v>0.0</v>
      </c>
      <c r="AA292" s="31">
        <f>IF(AA291+AK292-Q292&lt;=0.01,0,ROUND(AA291+AK292-Q292,2))</f>
        <v>0.0</v>
      </c>
      <c r="AB292" s="31">
        <f>ROUND(R291*AB$5/1200,2)</f>
        <v>0.0</v>
      </c>
      <c r="AC292" s="31">
        <f>ROUND(S291*AC$5/1200,2)</f>
        <v>0.0</v>
      </c>
      <c r="AD292" s="31">
        <f>ROUND(T291*AD$5/1200,2)</f>
        <v>0.0</v>
      </c>
      <c r="AE292" s="31">
        <f>ROUND(U291*AE$5/1200,2)</f>
        <v>0.0</v>
      </c>
      <c r="AF292" s="31">
        <f>ROUND(V291*AF$5/1200,2)</f>
        <v>0.0</v>
      </c>
      <c r="AG292" s="31">
        <f>ROUND(W291*AG$5/1200,2)</f>
        <v>0.0</v>
      </c>
      <c r="AH292" s="31">
        <f>ROUND(X291*AH$5/1200,2)</f>
        <v>0.0</v>
      </c>
      <c r="AI292" s="31">
        <f>ROUND(Y291*AI$5/1200,2)</f>
        <v>0.0</v>
      </c>
      <c r="AJ292" s="31">
        <f>ROUND(Z291*AJ$5/1200,2)</f>
        <v>0.0</v>
      </c>
      <c r="AK292" s="31">
        <f>ROUND(AA291*AK$5/1200,2)</f>
        <v>0.0</v>
      </c>
      <c r="AL292" s="31">
        <f>MIN(AL$5,R291+AB292)</f>
        <v>0.0</v>
      </c>
      <c r="AM292" s="31">
        <f>MIN(AM$5,S291+AC292)</f>
        <v>0.0</v>
      </c>
      <c r="AN292" s="31">
        <f>MIN(AN$5,T291+AD292)</f>
        <v>0.0</v>
      </c>
      <c r="AO292" s="31">
        <f>MIN(AO$5,U291+AE292)</f>
        <v>0.0</v>
      </c>
      <c r="AP292" s="31">
        <f>MIN(AP$5,V291+AF292)</f>
        <v>0.0</v>
      </c>
      <c r="AQ292" s="31">
        <f>MIN(AQ$5,W291+AG292)</f>
        <v>0.0</v>
      </c>
      <c r="AR292" s="31">
        <f>MIN(AR$5,X291+AH292)</f>
        <v>0.0</v>
      </c>
      <c r="AS292" s="31">
        <f>MIN(AS$5,Y291+AI292)</f>
        <v>0.0</v>
      </c>
      <c r="AT292" s="31">
        <f>MIN(AT$5,Z291+AJ292)</f>
        <v>0.0</v>
      </c>
      <c r="AU292" s="31">
        <f>MIN(AU$5,AA291+AK292)</f>
        <v>0.0</v>
      </c>
    </row>
    <row r="293">
      <c r="A293" s="25" t="str">
        <f>IF(F292&gt;0.005,288,"")</f>
        <v/>
      </c>
      <c r="B293" s="33" t="str">
        <f>IF(A293="","",EDATE(Долги!$D$5,287))</f>
        <v/>
      </c>
      <c r="C293" s="31">
        <f>SUM(H293:Q293)</f>
        <v>0.0</v>
      </c>
      <c r="D293" s="31">
        <f>SUM(AB293:AK293)</f>
        <v>0.0</v>
      </c>
      <c r="E293" s="31">
        <f>C293-D293</f>
        <v>0.0</v>
      </c>
      <c r="F293" s="31">
        <f>SUM(R293:AA293)</f>
        <v>0.0</v>
      </c>
      <c r="G293" s="34" t="str">
        <f>IF(OR(A293="",$F$5&lt;=0),"",REPT("█",ROUND(20*F293/$F$5,0)))</f>
        <v/>
      </c>
      <c r="H293" s="31">
        <f>AL293+MIN(R292+AB293-AL293,MAX(0,ROUND(Долги!$D$19-SUM($AL293:$AU293),2)))</f>
        <v>0.0</v>
      </c>
      <c r="I293" s="31">
        <f>AM293+MIN(S292+AC293-AM293,MAX(0,ROUND(ROUND(Долги!$D$19-SUM($AL293:$AU293),2)-(SUM($H293:H293)-SUM($AL293:AL293)),2)))</f>
        <v>0.0</v>
      </c>
      <c r="J293" s="31">
        <f>AN293+MIN(T292+AD293-AN293,MAX(0,ROUND(ROUND(Долги!$D$19-SUM($AL293:$AU293),2)-(SUM($H293:I293)-SUM($AL293:AM293)),2)))</f>
        <v>0.0</v>
      </c>
      <c r="K293" s="31">
        <f>AO293+MIN(U292+AE293-AO293,MAX(0,ROUND(ROUND(Долги!$D$19-SUM($AL293:$AU293),2)-(SUM($H293:J293)-SUM($AL293:AN293)),2)))</f>
        <v>0.0</v>
      </c>
      <c r="L293" s="31">
        <f>AP293+MIN(V292+AF293-AP293,MAX(0,ROUND(ROUND(Долги!$D$19-SUM($AL293:$AU293),2)-(SUM($H293:K293)-SUM($AL293:AO293)),2)))</f>
        <v>0.0</v>
      </c>
      <c r="M293" s="31">
        <f>AQ293+MIN(W292+AG293-AQ293,MAX(0,ROUND(ROUND(Долги!$D$19-SUM($AL293:$AU293),2)-(SUM($H293:L293)-SUM($AL293:AP293)),2)))</f>
        <v>0.0</v>
      </c>
      <c r="N293" s="31">
        <f>AR293+MIN(X292+AH293-AR293,MAX(0,ROUND(ROUND(Долги!$D$19-SUM($AL293:$AU293),2)-(SUM($H293:M293)-SUM($AL293:AQ293)),2)))</f>
        <v>0.0</v>
      </c>
      <c r="O293" s="31">
        <f>AS293+MIN(Y292+AI293-AS293,MAX(0,ROUND(ROUND(Долги!$D$19-SUM($AL293:$AU293),2)-(SUM($H293:N293)-SUM($AL293:AR293)),2)))</f>
        <v>0.0</v>
      </c>
      <c r="P293" s="31">
        <f>AT293+MIN(Z292+AJ293-AT293,MAX(0,ROUND(ROUND(Долги!$D$19-SUM($AL293:$AU293),2)-(SUM($H293:O293)-SUM($AL293:AS293)),2)))</f>
        <v>0.0</v>
      </c>
      <c r="Q293" s="31">
        <f>AU293+MIN(AA292+AK293-AU293,MAX(0,ROUND(ROUND(Долги!$D$19-SUM($AL293:$AU293),2)-(SUM($H293:P293)-SUM($AL293:AT293)),2)))</f>
        <v>0.0</v>
      </c>
      <c r="R293" s="31">
        <f>IF(R292+AB293-H293&lt;=0.01,0,ROUND(R292+AB293-H293,2))</f>
        <v>0.0</v>
      </c>
      <c r="S293" s="31">
        <f>IF(S292+AC293-I293&lt;=0.01,0,ROUND(S292+AC293-I293,2))</f>
        <v>0.0</v>
      </c>
      <c r="T293" s="31">
        <f>IF(T292+AD293-J293&lt;=0.01,0,ROUND(T292+AD293-J293,2))</f>
        <v>0.0</v>
      </c>
      <c r="U293" s="31">
        <f>IF(U292+AE293-K293&lt;=0.01,0,ROUND(U292+AE293-K293,2))</f>
        <v>0.0</v>
      </c>
      <c r="V293" s="31">
        <f>IF(V292+AF293-L293&lt;=0.01,0,ROUND(V292+AF293-L293,2))</f>
        <v>0.0</v>
      </c>
      <c r="W293" s="31">
        <f>IF(W292+AG293-M293&lt;=0.01,0,ROUND(W292+AG293-M293,2))</f>
        <v>0.0</v>
      </c>
      <c r="X293" s="31">
        <f>IF(X292+AH293-N293&lt;=0.01,0,ROUND(X292+AH293-N293,2))</f>
        <v>0.0</v>
      </c>
      <c r="Y293" s="31">
        <f>IF(Y292+AI293-O293&lt;=0.01,0,ROUND(Y292+AI293-O293,2))</f>
        <v>0.0</v>
      </c>
      <c r="Z293" s="31">
        <f>IF(Z292+AJ293-P293&lt;=0.01,0,ROUND(Z292+AJ293-P293,2))</f>
        <v>0.0</v>
      </c>
      <c r="AA293" s="31">
        <f>IF(AA292+AK293-Q293&lt;=0.01,0,ROUND(AA292+AK293-Q293,2))</f>
        <v>0.0</v>
      </c>
      <c r="AB293" s="31">
        <f>ROUND(R292*AB$5/1200,2)</f>
        <v>0.0</v>
      </c>
      <c r="AC293" s="31">
        <f>ROUND(S292*AC$5/1200,2)</f>
        <v>0.0</v>
      </c>
      <c r="AD293" s="31">
        <f>ROUND(T292*AD$5/1200,2)</f>
        <v>0.0</v>
      </c>
      <c r="AE293" s="31">
        <f>ROUND(U292*AE$5/1200,2)</f>
        <v>0.0</v>
      </c>
      <c r="AF293" s="31">
        <f>ROUND(V292*AF$5/1200,2)</f>
        <v>0.0</v>
      </c>
      <c r="AG293" s="31">
        <f>ROUND(W292*AG$5/1200,2)</f>
        <v>0.0</v>
      </c>
      <c r="AH293" s="31">
        <f>ROUND(X292*AH$5/1200,2)</f>
        <v>0.0</v>
      </c>
      <c r="AI293" s="31">
        <f>ROUND(Y292*AI$5/1200,2)</f>
        <v>0.0</v>
      </c>
      <c r="AJ293" s="31">
        <f>ROUND(Z292*AJ$5/1200,2)</f>
        <v>0.0</v>
      </c>
      <c r="AK293" s="31">
        <f>ROUND(AA292*AK$5/1200,2)</f>
        <v>0.0</v>
      </c>
      <c r="AL293" s="31">
        <f>MIN(AL$5,R292+AB293)</f>
        <v>0.0</v>
      </c>
      <c r="AM293" s="31">
        <f>MIN(AM$5,S292+AC293)</f>
        <v>0.0</v>
      </c>
      <c r="AN293" s="31">
        <f>MIN(AN$5,T292+AD293)</f>
        <v>0.0</v>
      </c>
      <c r="AO293" s="31">
        <f>MIN(AO$5,U292+AE293)</f>
        <v>0.0</v>
      </c>
      <c r="AP293" s="31">
        <f>MIN(AP$5,V292+AF293)</f>
        <v>0.0</v>
      </c>
      <c r="AQ293" s="31">
        <f>MIN(AQ$5,W292+AG293)</f>
        <v>0.0</v>
      </c>
      <c r="AR293" s="31">
        <f>MIN(AR$5,X292+AH293)</f>
        <v>0.0</v>
      </c>
      <c r="AS293" s="31">
        <f>MIN(AS$5,Y292+AI293)</f>
        <v>0.0</v>
      </c>
      <c r="AT293" s="31">
        <f>MIN(AT$5,Z292+AJ293)</f>
        <v>0.0</v>
      </c>
      <c r="AU293" s="31">
        <f>MIN(AU$5,AA292+AK293)</f>
        <v>0.0</v>
      </c>
    </row>
    <row r="294">
      <c r="A294" s="25" t="str">
        <f>IF(F293&gt;0.005,289,"")</f>
        <v/>
      </c>
      <c r="B294" s="33" t="str">
        <f>IF(A294="","",EDATE(Долги!$D$5,288))</f>
        <v/>
      </c>
      <c r="C294" s="31">
        <f>SUM(H294:Q294)</f>
        <v>0.0</v>
      </c>
      <c r="D294" s="31">
        <f>SUM(AB294:AK294)</f>
        <v>0.0</v>
      </c>
      <c r="E294" s="31">
        <f>C294-D294</f>
        <v>0.0</v>
      </c>
      <c r="F294" s="31">
        <f>SUM(R294:AA294)</f>
        <v>0.0</v>
      </c>
      <c r="G294" s="34" t="str">
        <f>IF(OR(A294="",$F$5&lt;=0),"",REPT("█",ROUND(20*F294/$F$5,0)))</f>
        <v/>
      </c>
      <c r="H294" s="31">
        <f>AL294+MIN(R293+AB294-AL294,MAX(0,ROUND(Долги!$D$19-SUM($AL294:$AU294),2)))</f>
        <v>0.0</v>
      </c>
      <c r="I294" s="31">
        <f>AM294+MIN(S293+AC294-AM294,MAX(0,ROUND(ROUND(Долги!$D$19-SUM($AL294:$AU294),2)-(SUM($H294:H294)-SUM($AL294:AL294)),2)))</f>
        <v>0.0</v>
      </c>
      <c r="J294" s="31">
        <f>AN294+MIN(T293+AD294-AN294,MAX(0,ROUND(ROUND(Долги!$D$19-SUM($AL294:$AU294),2)-(SUM($H294:I294)-SUM($AL294:AM294)),2)))</f>
        <v>0.0</v>
      </c>
      <c r="K294" s="31">
        <f>AO294+MIN(U293+AE294-AO294,MAX(0,ROUND(ROUND(Долги!$D$19-SUM($AL294:$AU294),2)-(SUM($H294:J294)-SUM($AL294:AN294)),2)))</f>
        <v>0.0</v>
      </c>
      <c r="L294" s="31">
        <f>AP294+MIN(V293+AF294-AP294,MAX(0,ROUND(ROUND(Долги!$D$19-SUM($AL294:$AU294),2)-(SUM($H294:K294)-SUM($AL294:AO294)),2)))</f>
        <v>0.0</v>
      </c>
      <c r="M294" s="31">
        <f>AQ294+MIN(W293+AG294-AQ294,MAX(0,ROUND(ROUND(Долги!$D$19-SUM($AL294:$AU294),2)-(SUM($H294:L294)-SUM($AL294:AP294)),2)))</f>
        <v>0.0</v>
      </c>
      <c r="N294" s="31">
        <f>AR294+MIN(X293+AH294-AR294,MAX(0,ROUND(ROUND(Долги!$D$19-SUM($AL294:$AU294),2)-(SUM($H294:M294)-SUM($AL294:AQ294)),2)))</f>
        <v>0.0</v>
      </c>
      <c r="O294" s="31">
        <f>AS294+MIN(Y293+AI294-AS294,MAX(0,ROUND(ROUND(Долги!$D$19-SUM($AL294:$AU294),2)-(SUM($H294:N294)-SUM($AL294:AR294)),2)))</f>
        <v>0.0</v>
      </c>
      <c r="P294" s="31">
        <f>AT294+MIN(Z293+AJ294-AT294,MAX(0,ROUND(ROUND(Долги!$D$19-SUM($AL294:$AU294),2)-(SUM($H294:O294)-SUM($AL294:AS294)),2)))</f>
        <v>0.0</v>
      </c>
      <c r="Q294" s="31">
        <f>AU294+MIN(AA293+AK294-AU294,MAX(0,ROUND(ROUND(Долги!$D$19-SUM($AL294:$AU294),2)-(SUM($H294:P294)-SUM($AL294:AT294)),2)))</f>
        <v>0.0</v>
      </c>
      <c r="R294" s="31">
        <f>IF(R293+AB294-H294&lt;=0.01,0,ROUND(R293+AB294-H294,2))</f>
        <v>0.0</v>
      </c>
      <c r="S294" s="31">
        <f>IF(S293+AC294-I294&lt;=0.01,0,ROUND(S293+AC294-I294,2))</f>
        <v>0.0</v>
      </c>
      <c r="T294" s="31">
        <f>IF(T293+AD294-J294&lt;=0.01,0,ROUND(T293+AD294-J294,2))</f>
        <v>0.0</v>
      </c>
      <c r="U294" s="31">
        <f>IF(U293+AE294-K294&lt;=0.01,0,ROUND(U293+AE294-K294,2))</f>
        <v>0.0</v>
      </c>
      <c r="V294" s="31">
        <f>IF(V293+AF294-L294&lt;=0.01,0,ROUND(V293+AF294-L294,2))</f>
        <v>0.0</v>
      </c>
      <c r="W294" s="31">
        <f>IF(W293+AG294-M294&lt;=0.01,0,ROUND(W293+AG294-M294,2))</f>
        <v>0.0</v>
      </c>
      <c r="X294" s="31">
        <f>IF(X293+AH294-N294&lt;=0.01,0,ROUND(X293+AH294-N294,2))</f>
        <v>0.0</v>
      </c>
      <c r="Y294" s="31">
        <f>IF(Y293+AI294-O294&lt;=0.01,0,ROUND(Y293+AI294-O294,2))</f>
        <v>0.0</v>
      </c>
      <c r="Z294" s="31">
        <f>IF(Z293+AJ294-P294&lt;=0.01,0,ROUND(Z293+AJ294-P294,2))</f>
        <v>0.0</v>
      </c>
      <c r="AA294" s="31">
        <f>IF(AA293+AK294-Q294&lt;=0.01,0,ROUND(AA293+AK294-Q294,2))</f>
        <v>0.0</v>
      </c>
      <c r="AB294" s="31">
        <f>ROUND(R293*AB$5/1200,2)</f>
        <v>0.0</v>
      </c>
      <c r="AC294" s="31">
        <f>ROUND(S293*AC$5/1200,2)</f>
        <v>0.0</v>
      </c>
      <c r="AD294" s="31">
        <f>ROUND(T293*AD$5/1200,2)</f>
        <v>0.0</v>
      </c>
      <c r="AE294" s="31">
        <f>ROUND(U293*AE$5/1200,2)</f>
        <v>0.0</v>
      </c>
      <c r="AF294" s="31">
        <f>ROUND(V293*AF$5/1200,2)</f>
        <v>0.0</v>
      </c>
      <c r="AG294" s="31">
        <f>ROUND(W293*AG$5/1200,2)</f>
        <v>0.0</v>
      </c>
      <c r="AH294" s="31">
        <f>ROUND(X293*AH$5/1200,2)</f>
        <v>0.0</v>
      </c>
      <c r="AI294" s="31">
        <f>ROUND(Y293*AI$5/1200,2)</f>
        <v>0.0</v>
      </c>
      <c r="AJ294" s="31">
        <f>ROUND(Z293*AJ$5/1200,2)</f>
        <v>0.0</v>
      </c>
      <c r="AK294" s="31">
        <f>ROUND(AA293*AK$5/1200,2)</f>
        <v>0.0</v>
      </c>
      <c r="AL294" s="31">
        <f>MIN(AL$5,R293+AB294)</f>
        <v>0.0</v>
      </c>
      <c r="AM294" s="31">
        <f>MIN(AM$5,S293+AC294)</f>
        <v>0.0</v>
      </c>
      <c r="AN294" s="31">
        <f>MIN(AN$5,T293+AD294)</f>
        <v>0.0</v>
      </c>
      <c r="AO294" s="31">
        <f>MIN(AO$5,U293+AE294)</f>
        <v>0.0</v>
      </c>
      <c r="AP294" s="31">
        <f>MIN(AP$5,V293+AF294)</f>
        <v>0.0</v>
      </c>
      <c r="AQ294" s="31">
        <f>MIN(AQ$5,W293+AG294)</f>
        <v>0.0</v>
      </c>
      <c r="AR294" s="31">
        <f>MIN(AR$5,X293+AH294)</f>
        <v>0.0</v>
      </c>
      <c r="AS294" s="31">
        <f>MIN(AS$5,Y293+AI294)</f>
        <v>0.0</v>
      </c>
      <c r="AT294" s="31">
        <f>MIN(AT$5,Z293+AJ294)</f>
        <v>0.0</v>
      </c>
      <c r="AU294" s="31">
        <f>MIN(AU$5,AA293+AK294)</f>
        <v>0.0</v>
      </c>
    </row>
    <row r="295">
      <c r="A295" s="25" t="str">
        <f>IF(F294&gt;0.005,290,"")</f>
        <v/>
      </c>
      <c r="B295" s="33" t="str">
        <f>IF(A295="","",EDATE(Долги!$D$5,289))</f>
        <v/>
      </c>
      <c r="C295" s="31">
        <f>SUM(H295:Q295)</f>
        <v>0.0</v>
      </c>
      <c r="D295" s="31">
        <f>SUM(AB295:AK295)</f>
        <v>0.0</v>
      </c>
      <c r="E295" s="31">
        <f>C295-D295</f>
        <v>0.0</v>
      </c>
      <c r="F295" s="31">
        <f>SUM(R295:AA295)</f>
        <v>0.0</v>
      </c>
      <c r="G295" s="34" t="str">
        <f>IF(OR(A295="",$F$5&lt;=0),"",REPT("█",ROUND(20*F295/$F$5,0)))</f>
        <v/>
      </c>
      <c r="H295" s="31">
        <f>AL295+MIN(R294+AB295-AL295,MAX(0,ROUND(Долги!$D$19-SUM($AL295:$AU295),2)))</f>
        <v>0.0</v>
      </c>
      <c r="I295" s="31">
        <f>AM295+MIN(S294+AC295-AM295,MAX(0,ROUND(ROUND(Долги!$D$19-SUM($AL295:$AU295),2)-(SUM($H295:H295)-SUM($AL295:AL295)),2)))</f>
        <v>0.0</v>
      </c>
      <c r="J295" s="31">
        <f>AN295+MIN(T294+AD295-AN295,MAX(0,ROUND(ROUND(Долги!$D$19-SUM($AL295:$AU295),2)-(SUM($H295:I295)-SUM($AL295:AM295)),2)))</f>
        <v>0.0</v>
      </c>
      <c r="K295" s="31">
        <f>AO295+MIN(U294+AE295-AO295,MAX(0,ROUND(ROUND(Долги!$D$19-SUM($AL295:$AU295),2)-(SUM($H295:J295)-SUM($AL295:AN295)),2)))</f>
        <v>0.0</v>
      </c>
      <c r="L295" s="31">
        <f>AP295+MIN(V294+AF295-AP295,MAX(0,ROUND(ROUND(Долги!$D$19-SUM($AL295:$AU295),2)-(SUM($H295:K295)-SUM($AL295:AO295)),2)))</f>
        <v>0.0</v>
      </c>
      <c r="M295" s="31">
        <f>AQ295+MIN(W294+AG295-AQ295,MAX(0,ROUND(ROUND(Долги!$D$19-SUM($AL295:$AU295),2)-(SUM($H295:L295)-SUM($AL295:AP295)),2)))</f>
        <v>0.0</v>
      </c>
      <c r="N295" s="31">
        <f>AR295+MIN(X294+AH295-AR295,MAX(0,ROUND(ROUND(Долги!$D$19-SUM($AL295:$AU295),2)-(SUM($H295:M295)-SUM($AL295:AQ295)),2)))</f>
        <v>0.0</v>
      </c>
      <c r="O295" s="31">
        <f>AS295+MIN(Y294+AI295-AS295,MAX(0,ROUND(ROUND(Долги!$D$19-SUM($AL295:$AU295),2)-(SUM($H295:N295)-SUM($AL295:AR295)),2)))</f>
        <v>0.0</v>
      </c>
      <c r="P295" s="31">
        <f>AT295+MIN(Z294+AJ295-AT295,MAX(0,ROUND(ROUND(Долги!$D$19-SUM($AL295:$AU295),2)-(SUM($H295:O295)-SUM($AL295:AS295)),2)))</f>
        <v>0.0</v>
      </c>
      <c r="Q295" s="31">
        <f>AU295+MIN(AA294+AK295-AU295,MAX(0,ROUND(ROUND(Долги!$D$19-SUM($AL295:$AU295),2)-(SUM($H295:P295)-SUM($AL295:AT295)),2)))</f>
        <v>0.0</v>
      </c>
      <c r="R295" s="31">
        <f>IF(R294+AB295-H295&lt;=0.01,0,ROUND(R294+AB295-H295,2))</f>
        <v>0.0</v>
      </c>
      <c r="S295" s="31">
        <f>IF(S294+AC295-I295&lt;=0.01,0,ROUND(S294+AC295-I295,2))</f>
        <v>0.0</v>
      </c>
      <c r="T295" s="31">
        <f>IF(T294+AD295-J295&lt;=0.01,0,ROUND(T294+AD295-J295,2))</f>
        <v>0.0</v>
      </c>
      <c r="U295" s="31">
        <f>IF(U294+AE295-K295&lt;=0.01,0,ROUND(U294+AE295-K295,2))</f>
        <v>0.0</v>
      </c>
      <c r="V295" s="31">
        <f>IF(V294+AF295-L295&lt;=0.01,0,ROUND(V294+AF295-L295,2))</f>
        <v>0.0</v>
      </c>
      <c r="W295" s="31">
        <f>IF(W294+AG295-M295&lt;=0.01,0,ROUND(W294+AG295-M295,2))</f>
        <v>0.0</v>
      </c>
      <c r="X295" s="31">
        <f>IF(X294+AH295-N295&lt;=0.01,0,ROUND(X294+AH295-N295,2))</f>
        <v>0.0</v>
      </c>
      <c r="Y295" s="31">
        <f>IF(Y294+AI295-O295&lt;=0.01,0,ROUND(Y294+AI295-O295,2))</f>
        <v>0.0</v>
      </c>
      <c r="Z295" s="31">
        <f>IF(Z294+AJ295-P295&lt;=0.01,0,ROUND(Z294+AJ295-P295,2))</f>
        <v>0.0</v>
      </c>
      <c r="AA295" s="31">
        <f>IF(AA294+AK295-Q295&lt;=0.01,0,ROUND(AA294+AK295-Q295,2))</f>
        <v>0.0</v>
      </c>
      <c r="AB295" s="31">
        <f>ROUND(R294*AB$5/1200,2)</f>
        <v>0.0</v>
      </c>
      <c r="AC295" s="31">
        <f>ROUND(S294*AC$5/1200,2)</f>
        <v>0.0</v>
      </c>
      <c r="AD295" s="31">
        <f>ROUND(T294*AD$5/1200,2)</f>
        <v>0.0</v>
      </c>
      <c r="AE295" s="31">
        <f>ROUND(U294*AE$5/1200,2)</f>
        <v>0.0</v>
      </c>
      <c r="AF295" s="31">
        <f>ROUND(V294*AF$5/1200,2)</f>
        <v>0.0</v>
      </c>
      <c r="AG295" s="31">
        <f>ROUND(W294*AG$5/1200,2)</f>
        <v>0.0</v>
      </c>
      <c r="AH295" s="31">
        <f>ROUND(X294*AH$5/1200,2)</f>
        <v>0.0</v>
      </c>
      <c r="AI295" s="31">
        <f>ROUND(Y294*AI$5/1200,2)</f>
        <v>0.0</v>
      </c>
      <c r="AJ295" s="31">
        <f>ROUND(Z294*AJ$5/1200,2)</f>
        <v>0.0</v>
      </c>
      <c r="AK295" s="31">
        <f>ROUND(AA294*AK$5/1200,2)</f>
        <v>0.0</v>
      </c>
      <c r="AL295" s="31">
        <f>MIN(AL$5,R294+AB295)</f>
        <v>0.0</v>
      </c>
      <c r="AM295" s="31">
        <f>MIN(AM$5,S294+AC295)</f>
        <v>0.0</v>
      </c>
      <c r="AN295" s="31">
        <f>MIN(AN$5,T294+AD295)</f>
        <v>0.0</v>
      </c>
      <c r="AO295" s="31">
        <f>MIN(AO$5,U294+AE295)</f>
        <v>0.0</v>
      </c>
      <c r="AP295" s="31">
        <f>MIN(AP$5,V294+AF295)</f>
        <v>0.0</v>
      </c>
      <c r="AQ295" s="31">
        <f>MIN(AQ$5,W294+AG295)</f>
        <v>0.0</v>
      </c>
      <c r="AR295" s="31">
        <f>MIN(AR$5,X294+AH295)</f>
        <v>0.0</v>
      </c>
      <c r="AS295" s="31">
        <f>MIN(AS$5,Y294+AI295)</f>
        <v>0.0</v>
      </c>
      <c r="AT295" s="31">
        <f>MIN(AT$5,Z294+AJ295)</f>
        <v>0.0</v>
      </c>
      <c r="AU295" s="31">
        <f>MIN(AU$5,AA294+AK295)</f>
        <v>0.0</v>
      </c>
    </row>
    <row r="296">
      <c r="A296" s="25" t="str">
        <f>IF(F295&gt;0.005,291,"")</f>
        <v/>
      </c>
      <c r="B296" s="33" t="str">
        <f>IF(A296="","",EDATE(Долги!$D$5,290))</f>
        <v/>
      </c>
      <c r="C296" s="31">
        <f>SUM(H296:Q296)</f>
        <v>0.0</v>
      </c>
      <c r="D296" s="31">
        <f>SUM(AB296:AK296)</f>
        <v>0.0</v>
      </c>
      <c r="E296" s="31">
        <f>C296-D296</f>
        <v>0.0</v>
      </c>
      <c r="F296" s="31">
        <f>SUM(R296:AA296)</f>
        <v>0.0</v>
      </c>
      <c r="G296" s="34" t="str">
        <f>IF(OR(A296="",$F$5&lt;=0),"",REPT("█",ROUND(20*F296/$F$5,0)))</f>
        <v/>
      </c>
      <c r="H296" s="31">
        <f>AL296+MIN(R295+AB296-AL296,MAX(0,ROUND(Долги!$D$19-SUM($AL296:$AU296),2)))</f>
        <v>0.0</v>
      </c>
      <c r="I296" s="31">
        <f>AM296+MIN(S295+AC296-AM296,MAX(0,ROUND(ROUND(Долги!$D$19-SUM($AL296:$AU296),2)-(SUM($H296:H296)-SUM($AL296:AL296)),2)))</f>
        <v>0.0</v>
      </c>
      <c r="J296" s="31">
        <f>AN296+MIN(T295+AD296-AN296,MAX(0,ROUND(ROUND(Долги!$D$19-SUM($AL296:$AU296),2)-(SUM($H296:I296)-SUM($AL296:AM296)),2)))</f>
        <v>0.0</v>
      </c>
      <c r="K296" s="31">
        <f>AO296+MIN(U295+AE296-AO296,MAX(0,ROUND(ROUND(Долги!$D$19-SUM($AL296:$AU296),2)-(SUM($H296:J296)-SUM($AL296:AN296)),2)))</f>
        <v>0.0</v>
      </c>
      <c r="L296" s="31">
        <f>AP296+MIN(V295+AF296-AP296,MAX(0,ROUND(ROUND(Долги!$D$19-SUM($AL296:$AU296),2)-(SUM($H296:K296)-SUM($AL296:AO296)),2)))</f>
        <v>0.0</v>
      </c>
      <c r="M296" s="31">
        <f>AQ296+MIN(W295+AG296-AQ296,MAX(0,ROUND(ROUND(Долги!$D$19-SUM($AL296:$AU296),2)-(SUM($H296:L296)-SUM($AL296:AP296)),2)))</f>
        <v>0.0</v>
      </c>
      <c r="N296" s="31">
        <f>AR296+MIN(X295+AH296-AR296,MAX(0,ROUND(ROUND(Долги!$D$19-SUM($AL296:$AU296),2)-(SUM($H296:M296)-SUM($AL296:AQ296)),2)))</f>
        <v>0.0</v>
      </c>
      <c r="O296" s="31">
        <f>AS296+MIN(Y295+AI296-AS296,MAX(0,ROUND(ROUND(Долги!$D$19-SUM($AL296:$AU296),2)-(SUM($H296:N296)-SUM($AL296:AR296)),2)))</f>
        <v>0.0</v>
      </c>
      <c r="P296" s="31">
        <f>AT296+MIN(Z295+AJ296-AT296,MAX(0,ROUND(ROUND(Долги!$D$19-SUM($AL296:$AU296),2)-(SUM($H296:O296)-SUM($AL296:AS296)),2)))</f>
        <v>0.0</v>
      </c>
      <c r="Q296" s="31">
        <f>AU296+MIN(AA295+AK296-AU296,MAX(0,ROUND(ROUND(Долги!$D$19-SUM($AL296:$AU296),2)-(SUM($H296:P296)-SUM($AL296:AT296)),2)))</f>
        <v>0.0</v>
      </c>
      <c r="R296" s="31">
        <f>IF(R295+AB296-H296&lt;=0.01,0,ROUND(R295+AB296-H296,2))</f>
        <v>0.0</v>
      </c>
      <c r="S296" s="31">
        <f>IF(S295+AC296-I296&lt;=0.01,0,ROUND(S295+AC296-I296,2))</f>
        <v>0.0</v>
      </c>
      <c r="T296" s="31">
        <f>IF(T295+AD296-J296&lt;=0.01,0,ROUND(T295+AD296-J296,2))</f>
        <v>0.0</v>
      </c>
      <c r="U296" s="31">
        <f>IF(U295+AE296-K296&lt;=0.01,0,ROUND(U295+AE296-K296,2))</f>
        <v>0.0</v>
      </c>
      <c r="V296" s="31">
        <f>IF(V295+AF296-L296&lt;=0.01,0,ROUND(V295+AF296-L296,2))</f>
        <v>0.0</v>
      </c>
      <c r="W296" s="31">
        <f>IF(W295+AG296-M296&lt;=0.01,0,ROUND(W295+AG296-M296,2))</f>
        <v>0.0</v>
      </c>
      <c r="X296" s="31">
        <f>IF(X295+AH296-N296&lt;=0.01,0,ROUND(X295+AH296-N296,2))</f>
        <v>0.0</v>
      </c>
      <c r="Y296" s="31">
        <f>IF(Y295+AI296-O296&lt;=0.01,0,ROUND(Y295+AI296-O296,2))</f>
        <v>0.0</v>
      </c>
      <c r="Z296" s="31">
        <f>IF(Z295+AJ296-P296&lt;=0.01,0,ROUND(Z295+AJ296-P296,2))</f>
        <v>0.0</v>
      </c>
      <c r="AA296" s="31">
        <f>IF(AA295+AK296-Q296&lt;=0.01,0,ROUND(AA295+AK296-Q296,2))</f>
        <v>0.0</v>
      </c>
      <c r="AB296" s="31">
        <f>ROUND(R295*AB$5/1200,2)</f>
        <v>0.0</v>
      </c>
      <c r="AC296" s="31">
        <f>ROUND(S295*AC$5/1200,2)</f>
        <v>0.0</v>
      </c>
      <c r="AD296" s="31">
        <f>ROUND(T295*AD$5/1200,2)</f>
        <v>0.0</v>
      </c>
      <c r="AE296" s="31">
        <f>ROUND(U295*AE$5/1200,2)</f>
        <v>0.0</v>
      </c>
      <c r="AF296" s="31">
        <f>ROUND(V295*AF$5/1200,2)</f>
        <v>0.0</v>
      </c>
      <c r="AG296" s="31">
        <f>ROUND(W295*AG$5/1200,2)</f>
        <v>0.0</v>
      </c>
      <c r="AH296" s="31">
        <f>ROUND(X295*AH$5/1200,2)</f>
        <v>0.0</v>
      </c>
      <c r="AI296" s="31">
        <f>ROUND(Y295*AI$5/1200,2)</f>
        <v>0.0</v>
      </c>
      <c r="AJ296" s="31">
        <f>ROUND(Z295*AJ$5/1200,2)</f>
        <v>0.0</v>
      </c>
      <c r="AK296" s="31">
        <f>ROUND(AA295*AK$5/1200,2)</f>
        <v>0.0</v>
      </c>
      <c r="AL296" s="31">
        <f>MIN(AL$5,R295+AB296)</f>
        <v>0.0</v>
      </c>
      <c r="AM296" s="31">
        <f>MIN(AM$5,S295+AC296)</f>
        <v>0.0</v>
      </c>
      <c r="AN296" s="31">
        <f>MIN(AN$5,T295+AD296)</f>
        <v>0.0</v>
      </c>
      <c r="AO296" s="31">
        <f>MIN(AO$5,U295+AE296)</f>
        <v>0.0</v>
      </c>
      <c r="AP296" s="31">
        <f>MIN(AP$5,V295+AF296)</f>
        <v>0.0</v>
      </c>
      <c r="AQ296" s="31">
        <f>MIN(AQ$5,W295+AG296)</f>
        <v>0.0</v>
      </c>
      <c r="AR296" s="31">
        <f>MIN(AR$5,X295+AH296)</f>
        <v>0.0</v>
      </c>
      <c r="AS296" s="31">
        <f>MIN(AS$5,Y295+AI296)</f>
        <v>0.0</v>
      </c>
      <c r="AT296" s="31">
        <f>MIN(AT$5,Z295+AJ296)</f>
        <v>0.0</v>
      </c>
      <c r="AU296" s="31">
        <f>MIN(AU$5,AA295+AK296)</f>
        <v>0.0</v>
      </c>
    </row>
    <row r="297">
      <c r="A297" s="25" t="str">
        <f>IF(F296&gt;0.005,292,"")</f>
        <v/>
      </c>
      <c r="B297" s="33" t="str">
        <f>IF(A297="","",EDATE(Долги!$D$5,291))</f>
        <v/>
      </c>
      <c r="C297" s="31">
        <f>SUM(H297:Q297)</f>
        <v>0.0</v>
      </c>
      <c r="D297" s="31">
        <f>SUM(AB297:AK297)</f>
        <v>0.0</v>
      </c>
      <c r="E297" s="31">
        <f>C297-D297</f>
        <v>0.0</v>
      </c>
      <c r="F297" s="31">
        <f>SUM(R297:AA297)</f>
        <v>0.0</v>
      </c>
      <c r="G297" s="34" t="str">
        <f>IF(OR(A297="",$F$5&lt;=0),"",REPT("█",ROUND(20*F297/$F$5,0)))</f>
        <v/>
      </c>
      <c r="H297" s="31">
        <f>AL297+MIN(R296+AB297-AL297,MAX(0,ROUND(Долги!$D$19-SUM($AL297:$AU297),2)))</f>
        <v>0.0</v>
      </c>
      <c r="I297" s="31">
        <f>AM297+MIN(S296+AC297-AM297,MAX(0,ROUND(ROUND(Долги!$D$19-SUM($AL297:$AU297),2)-(SUM($H297:H297)-SUM($AL297:AL297)),2)))</f>
        <v>0.0</v>
      </c>
      <c r="J297" s="31">
        <f>AN297+MIN(T296+AD297-AN297,MAX(0,ROUND(ROUND(Долги!$D$19-SUM($AL297:$AU297),2)-(SUM($H297:I297)-SUM($AL297:AM297)),2)))</f>
        <v>0.0</v>
      </c>
      <c r="K297" s="31">
        <f>AO297+MIN(U296+AE297-AO297,MAX(0,ROUND(ROUND(Долги!$D$19-SUM($AL297:$AU297),2)-(SUM($H297:J297)-SUM($AL297:AN297)),2)))</f>
        <v>0.0</v>
      </c>
      <c r="L297" s="31">
        <f>AP297+MIN(V296+AF297-AP297,MAX(0,ROUND(ROUND(Долги!$D$19-SUM($AL297:$AU297),2)-(SUM($H297:K297)-SUM($AL297:AO297)),2)))</f>
        <v>0.0</v>
      </c>
      <c r="M297" s="31">
        <f>AQ297+MIN(W296+AG297-AQ297,MAX(0,ROUND(ROUND(Долги!$D$19-SUM($AL297:$AU297),2)-(SUM($H297:L297)-SUM($AL297:AP297)),2)))</f>
        <v>0.0</v>
      </c>
      <c r="N297" s="31">
        <f>AR297+MIN(X296+AH297-AR297,MAX(0,ROUND(ROUND(Долги!$D$19-SUM($AL297:$AU297),2)-(SUM($H297:M297)-SUM($AL297:AQ297)),2)))</f>
        <v>0.0</v>
      </c>
      <c r="O297" s="31">
        <f>AS297+MIN(Y296+AI297-AS297,MAX(0,ROUND(ROUND(Долги!$D$19-SUM($AL297:$AU297),2)-(SUM($H297:N297)-SUM($AL297:AR297)),2)))</f>
        <v>0.0</v>
      </c>
      <c r="P297" s="31">
        <f>AT297+MIN(Z296+AJ297-AT297,MAX(0,ROUND(ROUND(Долги!$D$19-SUM($AL297:$AU297),2)-(SUM($H297:O297)-SUM($AL297:AS297)),2)))</f>
        <v>0.0</v>
      </c>
      <c r="Q297" s="31">
        <f>AU297+MIN(AA296+AK297-AU297,MAX(0,ROUND(ROUND(Долги!$D$19-SUM($AL297:$AU297),2)-(SUM($H297:P297)-SUM($AL297:AT297)),2)))</f>
        <v>0.0</v>
      </c>
      <c r="R297" s="31">
        <f>IF(R296+AB297-H297&lt;=0.01,0,ROUND(R296+AB297-H297,2))</f>
        <v>0.0</v>
      </c>
      <c r="S297" s="31">
        <f>IF(S296+AC297-I297&lt;=0.01,0,ROUND(S296+AC297-I297,2))</f>
        <v>0.0</v>
      </c>
      <c r="T297" s="31">
        <f>IF(T296+AD297-J297&lt;=0.01,0,ROUND(T296+AD297-J297,2))</f>
        <v>0.0</v>
      </c>
      <c r="U297" s="31">
        <f>IF(U296+AE297-K297&lt;=0.01,0,ROUND(U296+AE297-K297,2))</f>
        <v>0.0</v>
      </c>
      <c r="V297" s="31">
        <f>IF(V296+AF297-L297&lt;=0.01,0,ROUND(V296+AF297-L297,2))</f>
        <v>0.0</v>
      </c>
      <c r="W297" s="31">
        <f>IF(W296+AG297-M297&lt;=0.01,0,ROUND(W296+AG297-M297,2))</f>
        <v>0.0</v>
      </c>
      <c r="X297" s="31">
        <f>IF(X296+AH297-N297&lt;=0.01,0,ROUND(X296+AH297-N297,2))</f>
        <v>0.0</v>
      </c>
      <c r="Y297" s="31">
        <f>IF(Y296+AI297-O297&lt;=0.01,0,ROUND(Y296+AI297-O297,2))</f>
        <v>0.0</v>
      </c>
      <c r="Z297" s="31">
        <f>IF(Z296+AJ297-P297&lt;=0.01,0,ROUND(Z296+AJ297-P297,2))</f>
        <v>0.0</v>
      </c>
      <c r="AA297" s="31">
        <f>IF(AA296+AK297-Q297&lt;=0.01,0,ROUND(AA296+AK297-Q297,2))</f>
        <v>0.0</v>
      </c>
      <c r="AB297" s="31">
        <f>ROUND(R296*AB$5/1200,2)</f>
        <v>0.0</v>
      </c>
      <c r="AC297" s="31">
        <f>ROUND(S296*AC$5/1200,2)</f>
        <v>0.0</v>
      </c>
      <c r="AD297" s="31">
        <f>ROUND(T296*AD$5/1200,2)</f>
        <v>0.0</v>
      </c>
      <c r="AE297" s="31">
        <f>ROUND(U296*AE$5/1200,2)</f>
        <v>0.0</v>
      </c>
      <c r="AF297" s="31">
        <f>ROUND(V296*AF$5/1200,2)</f>
        <v>0.0</v>
      </c>
      <c r="AG297" s="31">
        <f>ROUND(W296*AG$5/1200,2)</f>
        <v>0.0</v>
      </c>
      <c r="AH297" s="31">
        <f>ROUND(X296*AH$5/1200,2)</f>
        <v>0.0</v>
      </c>
      <c r="AI297" s="31">
        <f>ROUND(Y296*AI$5/1200,2)</f>
        <v>0.0</v>
      </c>
      <c r="AJ297" s="31">
        <f>ROUND(Z296*AJ$5/1200,2)</f>
        <v>0.0</v>
      </c>
      <c r="AK297" s="31">
        <f>ROUND(AA296*AK$5/1200,2)</f>
        <v>0.0</v>
      </c>
      <c r="AL297" s="31">
        <f>MIN(AL$5,R296+AB297)</f>
        <v>0.0</v>
      </c>
      <c r="AM297" s="31">
        <f>MIN(AM$5,S296+AC297)</f>
        <v>0.0</v>
      </c>
      <c r="AN297" s="31">
        <f>MIN(AN$5,T296+AD297)</f>
        <v>0.0</v>
      </c>
      <c r="AO297" s="31">
        <f>MIN(AO$5,U296+AE297)</f>
        <v>0.0</v>
      </c>
      <c r="AP297" s="31">
        <f>MIN(AP$5,V296+AF297)</f>
        <v>0.0</v>
      </c>
      <c r="AQ297" s="31">
        <f>MIN(AQ$5,W296+AG297)</f>
        <v>0.0</v>
      </c>
      <c r="AR297" s="31">
        <f>MIN(AR$5,X296+AH297)</f>
        <v>0.0</v>
      </c>
      <c r="AS297" s="31">
        <f>MIN(AS$5,Y296+AI297)</f>
        <v>0.0</v>
      </c>
      <c r="AT297" s="31">
        <f>MIN(AT$5,Z296+AJ297)</f>
        <v>0.0</v>
      </c>
      <c r="AU297" s="31">
        <f>MIN(AU$5,AA296+AK297)</f>
        <v>0.0</v>
      </c>
    </row>
    <row r="298">
      <c r="A298" s="25" t="str">
        <f>IF(F297&gt;0.005,293,"")</f>
        <v/>
      </c>
      <c r="B298" s="33" t="str">
        <f>IF(A298="","",EDATE(Долги!$D$5,292))</f>
        <v/>
      </c>
      <c r="C298" s="31">
        <f>SUM(H298:Q298)</f>
        <v>0.0</v>
      </c>
      <c r="D298" s="31">
        <f>SUM(AB298:AK298)</f>
        <v>0.0</v>
      </c>
      <c r="E298" s="31">
        <f>C298-D298</f>
        <v>0.0</v>
      </c>
      <c r="F298" s="31">
        <f>SUM(R298:AA298)</f>
        <v>0.0</v>
      </c>
      <c r="G298" s="34" t="str">
        <f>IF(OR(A298="",$F$5&lt;=0),"",REPT("█",ROUND(20*F298/$F$5,0)))</f>
        <v/>
      </c>
      <c r="H298" s="31">
        <f>AL298+MIN(R297+AB298-AL298,MAX(0,ROUND(Долги!$D$19-SUM($AL298:$AU298),2)))</f>
        <v>0.0</v>
      </c>
      <c r="I298" s="31">
        <f>AM298+MIN(S297+AC298-AM298,MAX(0,ROUND(ROUND(Долги!$D$19-SUM($AL298:$AU298),2)-(SUM($H298:H298)-SUM($AL298:AL298)),2)))</f>
        <v>0.0</v>
      </c>
      <c r="J298" s="31">
        <f>AN298+MIN(T297+AD298-AN298,MAX(0,ROUND(ROUND(Долги!$D$19-SUM($AL298:$AU298),2)-(SUM($H298:I298)-SUM($AL298:AM298)),2)))</f>
        <v>0.0</v>
      </c>
      <c r="K298" s="31">
        <f>AO298+MIN(U297+AE298-AO298,MAX(0,ROUND(ROUND(Долги!$D$19-SUM($AL298:$AU298),2)-(SUM($H298:J298)-SUM($AL298:AN298)),2)))</f>
        <v>0.0</v>
      </c>
      <c r="L298" s="31">
        <f>AP298+MIN(V297+AF298-AP298,MAX(0,ROUND(ROUND(Долги!$D$19-SUM($AL298:$AU298),2)-(SUM($H298:K298)-SUM($AL298:AO298)),2)))</f>
        <v>0.0</v>
      </c>
      <c r="M298" s="31">
        <f>AQ298+MIN(W297+AG298-AQ298,MAX(0,ROUND(ROUND(Долги!$D$19-SUM($AL298:$AU298),2)-(SUM($H298:L298)-SUM($AL298:AP298)),2)))</f>
        <v>0.0</v>
      </c>
      <c r="N298" s="31">
        <f>AR298+MIN(X297+AH298-AR298,MAX(0,ROUND(ROUND(Долги!$D$19-SUM($AL298:$AU298),2)-(SUM($H298:M298)-SUM($AL298:AQ298)),2)))</f>
        <v>0.0</v>
      </c>
      <c r="O298" s="31">
        <f>AS298+MIN(Y297+AI298-AS298,MAX(0,ROUND(ROUND(Долги!$D$19-SUM($AL298:$AU298),2)-(SUM($H298:N298)-SUM($AL298:AR298)),2)))</f>
        <v>0.0</v>
      </c>
      <c r="P298" s="31">
        <f>AT298+MIN(Z297+AJ298-AT298,MAX(0,ROUND(ROUND(Долги!$D$19-SUM($AL298:$AU298),2)-(SUM($H298:O298)-SUM($AL298:AS298)),2)))</f>
        <v>0.0</v>
      </c>
      <c r="Q298" s="31">
        <f>AU298+MIN(AA297+AK298-AU298,MAX(0,ROUND(ROUND(Долги!$D$19-SUM($AL298:$AU298),2)-(SUM($H298:P298)-SUM($AL298:AT298)),2)))</f>
        <v>0.0</v>
      </c>
      <c r="R298" s="31">
        <f>IF(R297+AB298-H298&lt;=0.01,0,ROUND(R297+AB298-H298,2))</f>
        <v>0.0</v>
      </c>
      <c r="S298" s="31">
        <f>IF(S297+AC298-I298&lt;=0.01,0,ROUND(S297+AC298-I298,2))</f>
        <v>0.0</v>
      </c>
      <c r="T298" s="31">
        <f>IF(T297+AD298-J298&lt;=0.01,0,ROUND(T297+AD298-J298,2))</f>
        <v>0.0</v>
      </c>
      <c r="U298" s="31">
        <f>IF(U297+AE298-K298&lt;=0.01,0,ROUND(U297+AE298-K298,2))</f>
        <v>0.0</v>
      </c>
      <c r="V298" s="31">
        <f>IF(V297+AF298-L298&lt;=0.01,0,ROUND(V297+AF298-L298,2))</f>
        <v>0.0</v>
      </c>
      <c r="W298" s="31">
        <f>IF(W297+AG298-M298&lt;=0.01,0,ROUND(W297+AG298-M298,2))</f>
        <v>0.0</v>
      </c>
      <c r="X298" s="31">
        <f>IF(X297+AH298-N298&lt;=0.01,0,ROUND(X297+AH298-N298,2))</f>
        <v>0.0</v>
      </c>
      <c r="Y298" s="31">
        <f>IF(Y297+AI298-O298&lt;=0.01,0,ROUND(Y297+AI298-O298,2))</f>
        <v>0.0</v>
      </c>
      <c r="Z298" s="31">
        <f>IF(Z297+AJ298-P298&lt;=0.01,0,ROUND(Z297+AJ298-P298,2))</f>
        <v>0.0</v>
      </c>
      <c r="AA298" s="31">
        <f>IF(AA297+AK298-Q298&lt;=0.01,0,ROUND(AA297+AK298-Q298,2))</f>
        <v>0.0</v>
      </c>
      <c r="AB298" s="31">
        <f>ROUND(R297*AB$5/1200,2)</f>
        <v>0.0</v>
      </c>
      <c r="AC298" s="31">
        <f>ROUND(S297*AC$5/1200,2)</f>
        <v>0.0</v>
      </c>
      <c r="AD298" s="31">
        <f>ROUND(T297*AD$5/1200,2)</f>
        <v>0.0</v>
      </c>
      <c r="AE298" s="31">
        <f>ROUND(U297*AE$5/1200,2)</f>
        <v>0.0</v>
      </c>
      <c r="AF298" s="31">
        <f>ROUND(V297*AF$5/1200,2)</f>
        <v>0.0</v>
      </c>
      <c r="AG298" s="31">
        <f>ROUND(W297*AG$5/1200,2)</f>
        <v>0.0</v>
      </c>
      <c r="AH298" s="31">
        <f>ROUND(X297*AH$5/1200,2)</f>
        <v>0.0</v>
      </c>
      <c r="AI298" s="31">
        <f>ROUND(Y297*AI$5/1200,2)</f>
        <v>0.0</v>
      </c>
      <c r="AJ298" s="31">
        <f>ROUND(Z297*AJ$5/1200,2)</f>
        <v>0.0</v>
      </c>
      <c r="AK298" s="31">
        <f>ROUND(AA297*AK$5/1200,2)</f>
        <v>0.0</v>
      </c>
      <c r="AL298" s="31">
        <f>MIN(AL$5,R297+AB298)</f>
        <v>0.0</v>
      </c>
      <c r="AM298" s="31">
        <f>MIN(AM$5,S297+AC298)</f>
        <v>0.0</v>
      </c>
      <c r="AN298" s="31">
        <f>MIN(AN$5,T297+AD298)</f>
        <v>0.0</v>
      </c>
      <c r="AO298" s="31">
        <f>MIN(AO$5,U297+AE298)</f>
        <v>0.0</v>
      </c>
      <c r="AP298" s="31">
        <f>MIN(AP$5,V297+AF298)</f>
        <v>0.0</v>
      </c>
      <c r="AQ298" s="31">
        <f>MIN(AQ$5,W297+AG298)</f>
        <v>0.0</v>
      </c>
      <c r="AR298" s="31">
        <f>MIN(AR$5,X297+AH298)</f>
        <v>0.0</v>
      </c>
      <c r="AS298" s="31">
        <f>MIN(AS$5,Y297+AI298)</f>
        <v>0.0</v>
      </c>
      <c r="AT298" s="31">
        <f>MIN(AT$5,Z297+AJ298)</f>
        <v>0.0</v>
      </c>
      <c r="AU298" s="31">
        <f>MIN(AU$5,AA297+AK298)</f>
        <v>0.0</v>
      </c>
    </row>
    <row r="299">
      <c r="A299" s="25" t="str">
        <f>IF(F298&gt;0.005,294,"")</f>
        <v/>
      </c>
      <c r="B299" s="33" t="str">
        <f>IF(A299="","",EDATE(Долги!$D$5,293))</f>
        <v/>
      </c>
      <c r="C299" s="31">
        <f>SUM(H299:Q299)</f>
        <v>0.0</v>
      </c>
      <c r="D299" s="31">
        <f>SUM(AB299:AK299)</f>
        <v>0.0</v>
      </c>
      <c r="E299" s="31">
        <f>C299-D299</f>
        <v>0.0</v>
      </c>
      <c r="F299" s="31">
        <f>SUM(R299:AA299)</f>
        <v>0.0</v>
      </c>
      <c r="G299" s="34" t="str">
        <f>IF(OR(A299="",$F$5&lt;=0),"",REPT("█",ROUND(20*F299/$F$5,0)))</f>
        <v/>
      </c>
      <c r="H299" s="31">
        <f>AL299+MIN(R298+AB299-AL299,MAX(0,ROUND(Долги!$D$19-SUM($AL299:$AU299),2)))</f>
        <v>0.0</v>
      </c>
      <c r="I299" s="31">
        <f>AM299+MIN(S298+AC299-AM299,MAX(0,ROUND(ROUND(Долги!$D$19-SUM($AL299:$AU299),2)-(SUM($H299:H299)-SUM($AL299:AL299)),2)))</f>
        <v>0.0</v>
      </c>
      <c r="J299" s="31">
        <f>AN299+MIN(T298+AD299-AN299,MAX(0,ROUND(ROUND(Долги!$D$19-SUM($AL299:$AU299),2)-(SUM($H299:I299)-SUM($AL299:AM299)),2)))</f>
        <v>0.0</v>
      </c>
      <c r="K299" s="31">
        <f>AO299+MIN(U298+AE299-AO299,MAX(0,ROUND(ROUND(Долги!$D$19-SUM($AL299:$AU299),2)-(SUM($H299:J299)-SUM($AL299:AN299)),2)))</f>
        <v>0.0</v>
      </c>
      <c r="L299" s="31">
        <f>AP299+MIN(V298+AF299-AP299,MAX(0,ROUND(ROUND(Долги!$D$19-SUM($AL299:$AU299),2)-(SUM($H299:K299)-SUM($AL299:AO299)),2)))</f>
        <v>0.0</v>
      </c>
      <c r="M299" s="31">
        <f>AQ299+MIN(W298+AG299-AQ299,MAX(0,ROUND(ROUND(Долги!$D$19-SUM($AL299:$AU299),2)-(SUM($H299:L299)-SUM($AL299:AP299)),2)))</f>
        <v>0.0</v>
      </c>
      <c r="N299" s="31">
        <f>AR299+MIN(X298+AH299-AR299,MAX(0,ROUND(ROUND(Долги!$D$19-SUM($AL299:$AU299),2)-(SUM($H299:M299)-SUM($AL299:AQ299)),2)))</f>
        <v>0.0</v>
      </c>
      <c r="O299" s="31">
        <f>AS299+MIN(Y298+AI299-AS299,MAX(0,ROUND(ROUND(Долги!$D$19-SUM($AL299:$AU299),2)-(SUM($H299:N299)-SUM($AL299:AR299)),2)))</f>
        <v>0.0</v>
      </c>
      <c r="P299" s="31">
        <f>AT299+MIN(Z298+AJ299-AT299,MAX(0,ROUND(ROUND(Долги!$D$19-SUM($AL299:$AU299),2)-(SUM($H299:O299)-SUM($AL299:AS299)),2)))</f>
        <v>0.0</v>
      </c>
      <c r="Q299" s="31">
        <f>AU299+MIN(AA298+AK299-AU299,MAX(0,ROUND(ROUND(Долги!$D$19-SUM($AL299:$AU299),2)-(SUM($H299:P299)-SUM($AL299:AT299)),2)))</f>
        <v>0.0</v>
      </c>
      <c r="R299" s="31">
        <f>IF(R298+AB299-H299&lt;=0.01,0,ROUND(R298+AB299-H299,2))</f>
        <v>0.0</v>
      </c>
      <c r="S299" s="31">
        <f>IF(S298+AC299-I299&lt;=0.01,0,ROUND(S298+AC299-I299,2))</f>
        <v>0.0</v>
      </c>
      <c r="T299" s="31">
        <f>IF(T298+AD299-J299&lt;=0.01,0,ROUND(T298+AD299-J299,2))</f>
        <v>0.0</v>
      </c>
      <c r="U299" s="31">
        <f>IF(U298+AE299-K299&lt;=0.01,0,ROUND(U298+AE299-K299,2))</f>
        <v>0.0</v>
      </c>
      <c r="V299" s="31">
        <f>IF(V298+AF299-L299&lt;=0.01,0,ROUND(V298+AF299-L299,2))</f>
        <v>0.0</v>
      </c>
      <c r="W299" s="31">
        <f>IF(W298+AG299-M299&lt;=0.01,0,ROUND(W298+AG299-M299,2))</f>
        <v>0.0</v>
      </c>
      <c r="X299" s="31">
        <f>IF(X298+AH299-N299&lt;=0.01,0,ROUND(X298+AH299-N299,2))</f>
        <v>0.0</v>
      </c>
      <c r="Y299" s="31">
        <f>IF(Y298+AI299-O299&lt;=0.01,0,ROUND(Y298+AI299-O299,2))</f>
        <v>0.0</v>
      </c>
      <c r="Z299" s="31">
        <f>IF(Z298+AJ299-P299&lt;=0.01,0,ROUND(Z298+AJ299-P299,2))</f>
        <v>0.0</v>
      </c>
      <c r="AA299" s="31">
        <f>IF(AA298+AK299-Q299&lt;=0.01,0,ROUND(AA298+AK299-Q299,2))</f>
        <v>0.0</v>
      </c>
      <c r="AB299" s="31">
        <f>ROUND(R298*AB$5/1200,2)</f>
        <v>0.0</v>
      </c>
      <c r="AC299" s="31">
        <f>ROUND(S298*AC$5/1200,2)</f>
        <v>0.0</v>
      </c>
      <c r="AD299" s="31">
        <f>ROUND(T298*AD$5/1200,2)</f>
        <v>0.0</v>
      </c>
      <c r="AE299" s="31">
        <f>ROUND(U298*AE$5/1200,2)</f>
        <v>0.0</v>
      </c>
      <c r="AF299" s="31">
        <f>ROUND(V298*AF$5/1200,2)</f>
        <v>0.0</v>
      </c>
      <c r="AG299" s="31">
        <f>ROUND(W298*AG$5/1200,2)</f>
        <v>0.0</v>
      </c>
      <c r="AH299" s="31">
        <f>ROUND(X298*AH$5/1200,2)</f>
        <v>0.0</v>
      </c>
      <c r="AI299" s="31">
        <f>ROUND(Y298*AI$5/1200,2)</f>
        <v>0.0</v>
      </c>
      <c r="AJ299" s="31">
        <f>ROUND(Z298*AJ$5/1200,2)</f>
        <v>0.0</v>
      </c>
      <c r="AK299" s="31">
        <f>ROUND(AA298*AK$5/1200,2)</f>
        <v>0.0</v>
      </c>
      <c r="AL299" s="31">
        <f>MIN(AL$5,R298+AB299)</f>
        <v>0.0</v>
      </c>
      <c r="AM299" s="31">
        <f>MIN(AM$5,S298+AC299)</f>
        <v>0.0</v>
      </c>
      <c r="AN299" s="31">
        <f>MIN(AN$5,T298+AD299)</f>
        <v>0.0</v>
      </c>
      <c r="AO299" s="31">
        <f>MIN(AO$5,U298+AE299)</f>
        <v>0.0</v>
      </c>
      <c r="AP299" s="31">
        <f>MIN(AP$5,V298+AF299)</f>
        <v>0.0</v>
      </c>
      <c r="AQ299" s="31">
        <f>MIN(AQ$5,W298+AG299)</f>
        <v>0.0</v>
      </c>
      <c r="AR299" s="31">
        <f>MIN(AR$5,X298+AH299)</f>
        <v>0.0</v>
      </c>
      <c r="AS299" s="31">
        <f>MIN(AS$5,Y298+AI299)</f>
        <v>0.0</v>
      </c>
      <c r="AT299" s="31">
        <f>MIN(AT$5,Z298+AJ299)</f>
        <v>0.0</v>
      </c>
      <c r="AU299" s="31">
        <f>MIN(AU$5,AA298+AK299)</f>
        <v>0.0</v>
      </c>
    </row>
    <row r="300">
      <c r="A300" s="25" t="str">
        <f>IF(F299&gt;0.005,295,"")</f>
        <v/>
      </c>
      <c r="B300" s="33" t="str">
        <f>IF(A300="","",EDATE(Долги!$D$5,294))</f>
        <v/>
      </c>
      <c r="C300" s="31">
        <f>SUM(H300:Q300)</f>
        <v>0.0</v>
      </c>
      <c r="D300" s="31">
        <f>SUM(AB300:AK300)</f>
        <v>0.0</v>
      </c>
      <c r="E300" s="31">
        <f>C300-D300</f>
        <v>0.0</v>
      </c>
      <c r="F300" s="31">
        <f>SUM(R300:AA300)</f>
        <v>0.0</v>
      </c>
      <c r="G300" s="34" t="str">
        <f>IF(OR(A300="",$F$5&lt;=0),"",REPT("█",ROUND(20*F300/$F$5,0)))</f>
        <v/>
      </c>
      <c r="H300" s="31">
        <f>AL300+MIN(R299+AB300-AL300,MAX(0,ROUND(Долги!$D$19-SUM($AL300:$AU300),2)))</f>
        <v>0.0</v>
      </c>
      <c r="I300" s="31">
        <f>AM300+MIN(S299+AC300-AM300,MAX(0,ROUND(ROUND(Долги!$D$19-SUM($AL300:$AU300),2)-(SUM($H300:H300)-SUM($AL300:AL300)),2)))</f>
        <v>0.0</v>
      </c>
      <c r="J300" s="31">
        <f>AN300+MIN(T299+AD300-AN300,MAX(0,ROUND(ROUND(Долги!$D$19-SUM($AL300:$AU300),2)-(SUM($H300:I300)-SUM($AL300:AM300)),2)))</f>
        <v>0.0</v>
      </c>
      <c r="K300" s="31">
        <f>AO300+MIN(U299+AE300-AO300,MAX(0,ROUND(ROUND(Долги!$D$19-SUM($AL300:$AU300),2)-(SUM($H300:J300)-SUM($AL300:AN300)),2)))</f>
        <v>0.0</v>
      </c>
      <c r="L300" s="31">
        <f>AP300+MIN(V299+AF300-AP300,MAX(0,ROUND(ROUND(Долги!$D$19-SUM($AL300:$AU300),2)-(SUM($H300:K300)-SUM($AL300:AO300)),2)))</f>
        <v>0.0</v>
      </c>
      <c r="M300" s="31">
        <f>AQ300+MIN(W299+AG300-AQ300,MAX(0,ROUND(ROUND(Долги!$D$19-SUM($AL300:$AU300),2)-(SUM($H300:L300)-SUM($AL300:AP300)),2)))</f>
        <v>0.0</v>
      </c>
      <c r="N300" s="31">
        <f>AR300+MIN(X299+AH300-AR300,MAX(0,ROUND(ROUND(Долги!$D$19-SUM($AL300:$AU300),2)-(SUM($H300:M300)-SUM($AL300:AQ300)),2)))</f>
        <v>0.0</v>
      </c>
      <c r="O300" s="31">
        <f>AS300+MIN(Y299+AI300-AS300,MAX(0,ROUND(ROUND(Долги!$D$19-SUM($AL300:$AU300),2)-(SUM($H300:N300)-SUM($AL300:AR300)),2)))</f>
        <v>0.0</v>
      </c>
      <c r="P300" s="31">
        <f>AT300+MIN(Z299+AJ300-AT300,MAX(0,ROUND(ROUND(Долги!$D$19-SUM($AL300:$AU300),2)-(SUM($H300:O300)-SUM($AL300:AS300)),2)))</f>
        <v>0.0</v>
      </c>
      <c r="Q300" s="31">
        <f>AU300+MIN(AA299+AK300-AU300,MAX(0,ROUND(ROUND(Долги!$D$19-SUM($AL300:$AU300),2)-(SUM($H300:P300)-SUM($AL300:AT300)),2)))</f>
        <v>0.0</v>
      </c>
      <c r="R300" s="31">
        <f>IF(R299+AB300-H300&lt;=0.01,0,ROUND(R299+AB300-H300,2))</f>
        <v>0.0</v>
      </c>
      <c r="S300" s="31">
        <f>IF(S299+AC300-I300&lt;=0.01,0,ROUND(S299+AC300-I300,2))</f>
        <v>0.0</v>
      </c>
      <c r="T300" s="31">
        <f>IF(T299+AD300-J300&lt;=0.01,0,ROUND(T299+AD300-J300,2))</f>
        <v>0.0</v>
      </c>
      <c r="U300" s="31">
        <f>IF(U299+AE300-K300&lt;=0.01,0,ROUND(U299+AE300-K300,2))</f>
        <v>0.0</v>
      </c>
      <c r="V300" s="31">
        <f>IF(V299+AF300-L300&lt;=0.01,0,ROUND(V299+AF300-L300,2))</f>
        <v>0.0</v>
      </c>
      <c r="W300" s="31">
        <f>IF(W299+AG300-M300&lt;=0.01,0,ROUND(W299+AG300-M300,2))</f>
        <v>0.0</v>
      </c>
      <c r="X300" s="31">
        <f>IF(X299+AH300-N300&lt;=0.01,0,ROUND(X299+AH300-N300,2))</f>
        <v>0.0</v>
      </c>
      <c r="Y300" s="31">
        <f>IF(Y299+AI300-O300&lt;=0.01,0,ROUND(Y299+AI300-O300,2))</f>
        <v>0.0</v>
      </c>
      <c r="Z300" s="31">
        <f>IF(Z299+AJ300-P300&lt;=0.01,0,ROUND(Z299+AJ300-P300,2))</f>
        <v>0.0</v>
      </c>
      <c r="AA300" s="31">
        <f>IF(AA299+AK300-Q300&lt;=0.01,0,ROUND(AA299+AK300-Q300,2))</f>
        <v>0.0</v>
      </c>
      <c r="AB300" s="31">
        <f>ROUND(R299*AB$5/1200,2)</f>
        <v>0.0</v>
      </c>
      <c r="AC300" s="31">
        <f>ROUND(S299*AC$5/1200,2)</f>
        <v>0.0</v>
      </c>
      <c r="AD300" s="31">
        <f>ROUND(T299*AD$5/1200,2)</f>
        <v>0.0</v>
      </c>
      <c r="AE300" s="31">
        <f>ROUND(U299*AE$5/1200,2)</f>
        <v>0.0</v>
      </c>
      <c r="AF300" s="31">
        <f>ROUND(V299*AF$5/1200,2)</f>
        <v>0.0</v>
      </c>
      <c r="AG300" s="31">
        <f>ROUND(W299*AG$5/1200,2)</f>
        <v>0.0</v>
      </c>
      <c r="AH300" s="31">
        <f>ROUND(X299*AH$5/1200,2)</f>
        <v>0.0</v>
      </c>
      <c r="AI300" s="31">
        <f>ROUND(Y299*AI$5/1200,2)</f>
        <v>0.0</v>
      </c>
      <c r="AJ300" s="31">
        <f>ROUND(Z299*AJ$5/1200,2)</f>
        <v>0.0</v>
      </c>
      <c r="AK300" s="31">
        <f>ROUND(AA299*AK$5/1200,2)</f>
        <v>0.0</v>
      </c>
      <c r="AL300" s="31">
        <f>MIN(AL$5,R299+AB300)</f>
        <v>0.0</v>
      </c>
      <c r="AM300" s="31">
        <f>MIN(AM$5,S299+AC300)</f>
        <v>0.0</v>
      </c>
      <c r="AN300" s="31">
        <f>MIN(AN$5,T299+AD300)</f>
        <v>0.0</v>
      </c>
      <c r="AO300" s="31">
        <f>MIN(AO$5,U299+AE300)</f>
        <v>0.0</v>
      </c>
      <c r="AP300" s="31">
        <f>MIN(AP$5,V299+AF300)</f>
        <v>0.0</v>
      </c>
      <c r="AQ300" s="31">
        <f>MIN(AQ$5,W299+AG300)</f>
        <v>0.0</v>
      </c>
      <c r="AR300" s="31">
        <f>MIN(AR$5,X299+AH300)</f>
        <v>0.0</v>
      </c>
      <c r="AS300" s="31">
        <f>MIN(AS$5,Y299+AI300)</f>
        <v>0.0</v>
      </c>
      <c r="AT300" s="31">
        <f>MIN(AT$5,Z299+AJ300)</f>
        <v>0.0</v>
      </c>
      <c r="AU300" s="31">
        <f>MIN(AU$5,AA299+AK300)</f>
        <v>0.0</v>
      </c>
    </row>
    <row r="301">
      <c r="A301" s="25" t="str">
        <f>IF(F300&gt;0.005,296,"")</f>
        <v/>
      </c>
      <c r="B301" s="33" t="str">
        <f>IF(A301="","",EDATE(Долги!$D$5,295))</f>
        <v/>
      </c>
      <c r="C301" s="31">
        <f>SUM(H301:Q301)</f>
        <v>0.0</v>
      </c>
      <c r="D301" s="31">
        <f>SUM(AB301:AK301)</f>
        <v>0.0</v>
      </c>
      <c r="E301" s="31">
        <f>C301-D301</f>
        <v>0.0</v>
      </c>
      <c r="F301" s="31">
        <f>SUM(R301:AA301)</f>
        <v>0.0</v>
      </c>
      <c r="G301" s="34" t="str">
        <f>IF(OR(A301="",$F$5&lt;=0),"",REPT("█",ROUND(20*F301/$F$5,0)))</f>
        <v/>
      </c>
      <c r="H301" s="31">
        <f>AL301+MIN(R300+AB301-AL301,MAX(0,ROUND(Долги!$D$19-SUM($AL301:$AU301),2)))</f>
        <v>0.0</v>
      </c>
      <c r="I301" s="31">
        <f>AM301+MIN(S300+AC301-AM301,MAX(0,ROUND(ROUND(Долги!$D$19-SUM($AL301:$AU301),2)-(SUM($H301:H301)-SUM($AL301:AL301)),2)))</f>
        <v>0.0</v>
      </c>
      <c r="J301" s="31">
        <f>AN301+MIN(T300+AD301-AN301,MAX(0,ROUND(ROUND(Долги!$D$19-SUM($AL301:$AU301),2)-(SUM($H301:I301)-SUM($AL301:AM301)),2)))</f>
        <v>0.0</v>
      </c>
      <c r="K301" s="31">
        <f>AO301+MIN(U300+AE301-AO301,MAX(0,ROUND(ROUND(Долги!$D$19-SUM($AL301:$AU301),2)-(SUM($H301:J301)-SUM($AL301:AN301)),2)))</f>
        <v>0.0</v>
      </c>
      <c r="L301" s="31">
        <f>AP301+MIN(V300+AF301-AP301,MAX(0,ROUND(ROUND(Долги!$D$19-SUM($AL301:$AU301),2)-(SUM($H301:K301)-SUM($AL301:AO301)),2)))</f>
        <v>0.0</v>
      </c>
      <c r="M301" s="31">
        <f>AQ301+MIN(W300+AG301-AQ301,MAX(0,ROUND(ROUND(Долги!$D$19-SUM($AL301:$AU301),2)-(SUM($H301:L301)-SUM($AL301:AP301)),2)))</f>
        <v>0.0</v>
      </c>
      <c r="N301" s="31">
        <f>AR301+MIN(X300+AH301-AR301,MAX(0,ROUND(ROUND(Долги!$D$19-SUM($AL301:$AU301),2)-(SUM($H301:M301)-SUM($AL301:AQ301)),2)))</f>
        <v>0.0</v>
      </c>
      <c r="O301" s="31">
        <f>AS301+MIN(Y300+AI301-AS301,MAX(0,ROUND(ROUND(Долги!$D$19-SUM($AL301:$AU301),2)-(SUM($H301:N301)-SUM($AL301:AR301)),2)))</f>
        <v>0.0</v>
      </c>
      <c r="P301" s="31">
        <f>AT301+MIN(Z300+AJ301-AT301,MAX(0,ROUND(ROUND(Долги!$D$19-SUM($AL301:$AU301),2)-(SUM($H301:O301)-SUM($AL301:AS301)),2)))</f>
        <v>0.0</v>
      </c>
      <c r="Q301" s="31">
        <f>AU301+MIN(AA300+AK301-AU301,MAX(0,ROUND(ROUND(Долги!$D$19-SUM($AL301:$AU301),2)-(SUM($H301:P301)-SUM($AL301:AT301)),2)))</f>
        <v>0.0</v>
      </c>
      <c r="R301" s="31">
        <f>IF(R300+AB301-H301&lt;=0.01,0,ROUND(R300+AB301-H301,2))</f>
        <v>0.0</v>
      </c>
      <c r="S301" s="31">
        <f>IF(S300+AC301-I301&lt;=0.01,0,ROUND(S300+AC301-I301,2))</f>
        <v>0.0</v>
      </c>
      <c r="T301" s="31">
        <f>IF(T300+AD301-J301&lt;=0.01,0,ROUND(T300+AD301-J301,2))</f>
        <v>0.0</v>
      </c>
      <c r="U301" s="31">
        <f>IF(U300+AE301-K301&lt;=0.01,0,ROUND(U300+AE301-K301,2))</f>
        <v>0.0</v>
      </c>
      <c r="V301" s="31">
        <f>IF(V300+AF301-L301&lt;=0.01,0,ROUND(V300+AF301-L301,2))</f>
        <v>0.0</v>
      </c>
      <c r="W301" s="31">
        <f>IF(W300+AG301-M301&lt;=0.01,0,ROUND(W300+AG301-M301,2))</f>
        <v>0.0</v>
      </c>
      <c r="X301" s="31">
        <f>IF(X300+AH301-N301&lt;=0.01,0,ROUND(X300+AH301-N301,2))</f>
        <v>0.0</v>
      </c>
      <c r="Y301" s="31">
        <f>IF(Y300+AI301-O301&lt;=0.01,0,ROUND(Y300+AI301-O301,2))</f>
        <v>0.0</v>
      </c>
      <c r="Z301" s="31">
        <f>IF(Z300+AJ301-P301&lt;=0.01,0,ROUND(Z300+AJ301-P301,2))</f>
        <v>0.0</v>
      </c>
      <c r="AA301" s="31">
        <f>IF(AA300+AK301-Q301&lt;=0.01,0,ROUND(AA300+AK301-Q301,2))</f>
        <v>0.0</v>
      </c>
      <c r="AB301" s="31">
        <f>ROUND(R300*AB$5/1200,2)</f>
        <v>0.0</v>
      </c>
      <c r="AC301" s="31">
        <f>ROUND(S300*AC$5/1200,2)</f>
        <v>0.0</v>
      </c>
      <c r="AD301" s="31">
        <f>ROUND(T300*AD$5/1200,2)</f>
        <v>0.0</v>
      </c>
      <c r="AE301" s="31">
        <f>ROUND(U300*AE$5/1200,2)</f>
        <v>0.0</v>
      </c>
      <c r="AF301" s="31">
        <f>ROUND(V300*AF$5/1200,2)</f>
        <v>0.0</v>
      </c>
      <c r="AG301" s="31">
        <f>ROUND(W300*AG$5/1200,2)</f>
        <v>0.0</v>
      </c>
      <c r="AH301" s="31">
        <f>ROUND(X300*AH$5/1200,2)</f>
        <v>0.0</v>
      </c>
      <c r="AI301" s="31">
        <f>ROUND(Y300*AI$5/1200,2)</f>
        <v>0.0</v>
      </c>
      <c r="AJ301" s="31">
        <f>ROUND(Z300*AJ$5/1200,2)</f>
        <v>0.0</v>
      </c>
      <c r="AK301" s="31">
        <f>ROUND(AA300*AK$5/1200,2)</f>
        <v>0.0</v>
      </c>
      <c r="AL301" s="31">
        <f>MIN(AL$5,R300+AB301)</f>
        <v>0.0</v>
      </c>
      <c r="AM301" s="31">
        <f>MIN(AM$5,S300+AC301)</f>
        <v>0.0</v>
      </c>
      <c r="AN301" s="31">
        <f>MIN(AN$5,T300+AD301)</f>
        <v>0.0</v>
      </c>
      <c r="AO301" s="31">
        <f>MIN(AO$5,U300+AE301)</f>
        <v>0.0</v>
      </c>
      <c r="AP301" s="31">
        <f>MIN(AP$5,V300+AF301)</f>
        <v>0.0</v>
      </c>
      <c r="AQ301" s="31">
        <f>MIN(AQ$5,W300+AG301)</f>
        <v>0.0</v>
      </c>
      <c r="AR301" s="31">
        <f>MIN(AR$5,X300+AH301)</f>
        <v>0.0</v>
      </c>
      <c r="AS301" s="31">
        <f>MIN(AS$5,Y300+AI301)</f>
        <v>0.0</v>
      </c>
      <c r="AT301" s="31">
        <f>MIN(AT$5,Z300+AJ301)</f>
        <v>0.0</v>
      </c>
      <c r="AU301" s="31">
        <f>MIN(AU$5,AA300+AK301)</f>
        <v>0.0</v>
      </c>
    </row>
    <row r="302">
      <c r="A302" s="25" t="str">
        <f>IF(F301&gt;0.005,297,"")</f>
        <v/>
      </c>
      <c r="B302" s="33" t="str">
        <f>IF(A302="","",EDATE(Долги!$D$5,296))</f>
        <v/>
      </c>
      <c r="C302" s="31">
        <f>SUM(H302:Q302)</f>
        <v>0.0</v>
      </c>
      <c r="D302" s="31">
        <f>SUM(AB302:AK302)</f>
        <v>0.0</v>
      </c>
      <c r="E302" s="31">
        <f>C302-D302</f>
        <v>0.0</v>
      </c>
      <c r="F302" s="31">
        <f>SUM(R302:AA302)</f>
        <v>0.0</v>
      </c>
      <c r="G302" s="34" t="str">
        <f>IF(OR(A302="",$F$5&lt;=0),"",REPT("█",ROUND(20*F302/$F$5,0)))</f>
        <v/>
      </c>
      <c r="H302" s="31">
        <f>AL302+MIN(R301+AB302-AL302,MAX(0,ROUND(Долги!$D$19-SUM($AL302:$AU302),2)))</f>
        <v>0.0</v>
      </c>
      <c r="I302" s="31">
        <f>AM302+MIN(S301+AC302-AM302,MAX(0,ROUND(ROUND(Долги!$D$19-SUM($AL302:$AU302),2)-(SUM($H302:H302)-SUM($AL302:AL302)),2)))</f>
        <v>0.0</v>
      </c>
      <c r="J302" s="31">
        <f>AN302+MIN(T301+AD302-AN302,MAX(0,ROUND(ROUND(Долги!$D$19-SUM($AL302:$AU302),2)-(SUM($H302:I302)-SUM($AL302:AM302)),2)))</f>
        <v>0.0</v>
      </c>
      <c r="K302" s="31">
        <f>AO302+MIN(U301+AE302-AO302,MAX(0,ROUND(ROUND(Долги!$D$19-SUM($AL302:$AU302),2)-(SUM($H302:J302)-SUM($AL302:AN302)),2)))</f>
        <v>0.0</v>
      </c>
      <c r="L302" s="31">
        <f>AP302+MIN(V301+AF302-AP302,MAX(0,ROUND(ROUND(Долги!$D$19-SUM($AL302:$AU302),2)-(SUM($H302:K302)-SUM($AL302:AO302)),2)))</f>
        <v>0.0</v>
      </c>
      <c r="M302" s="31">
        <f>AQ302+MIN(W301+AG302-AQ302,MAX(0,ROUND(ROUND(Долги!$D$19-SUM($AL302:$AU302),2)-(SUM($H302:L302)-SUM($AL302:AP302)),2)))</f>
        <v>0.0</v>
      </c>
      <c r="N302" s="31">
        <f>AR302+MIN(X301+AH302-AR302,MAX(0,ROUND(ROUND(Долги!$D$19-SUM($AL302:$AU302),2)-(SUM($H302:M302)-SUM($AL302:AQ302)),2)))</f>
        <v>0.0</v>
      </c>
      <c r="O302" s="31">
        <f>AS302+MIN(Y301+AI302-AS302,MAX(0,ROUND(ROUND(Долги!$D$19-SUM($AL302:$AU302),2)-(SUM($H302:N302)-SUM($AL302:AR302)),2)))</f>
        <v>0.0</v>
      </c>
      <c r="P302" s="31">
        <f>AT302+MIN(Z301+AJ302-AT302,MAX(0,ROUND(ROUND(Долги!$D$19-SUM($AL302:$AU302),2)-(SUM($H302:O302)-SUM($AL302:AS302)),2)))</f>
        <v>0.0</v>
      </c>
      <c r="Q302" s="31">
        <f>AU302+MIN(AA301+AK302-AU302,MAX(0,ROUND(ROUND(Долги!$D$19-SUM($AL302:$AU302),2)-(SUM($H302:P302)-SUM($AL302:AT302)),2)))</f>
        <v>0.0</v>
      </c>
      <c r="R302" s="31">
        <f>IF(R301+AB302-H302&lt;=0.01,0,ROUND(R301+AB302-H302,2))</f>
        <v>0.0</v>
      </c>
      <c r="S302" s="31">
        <f>IF(S301+AC302-I302&lt;=0.01,0,ROUND(S301+AC302-I302,2))</f>
        <v>0.0</v>
      </c>
      <c r="T302" s="31">
        <f>IF(T301+AD302-J302&lt;=0.01,0,ROUND(T301+AD302-J302,2))</f>
        <v>0.0</v>
      </c>
      <c r="U302" s="31">
        <f>IF(U301+AE302-K302&lt;=0.01,0,ROUND(U301+AE302-K302,2))</f>
        <v>0.0</v>
      </c>
      <c r="V302" s="31">
        <f>IF(V301+AF302-L302&lt;=0.01,0,ROUND(V301+AF302-L302,2))</f>
        <v>0.0</v>
      </c>
      <c r="W302" s="31">
        <f>IF(W301+AG302-M302&lt;=0.01,0,ROUND(W301+AG302-M302,2))</f>
        <v>0.0</v>
      </c>
      <c r="X302" s="31">
        <f>IF(X301+AH302-N302&lt;=0.01,0,ROUND(X301+AH302-N302,2))</f>
        <v>0.0</v>
      </c>
      <c r="Y302" s="31">
        <f>IF(Y301+AI302-O302&lt;=0.01,0,ROUND(Y301+AI302-O302,2))</f>
        <v>0.0</v>
      </c>
      <c r="Z302" s="31">
        <f>IF(Z301+AJ302-P302&lt;=0.01,0,ROUND(Z301+AJ302-P302,2))</f>
        <v>0.0</v>
      </c>
      <c r="AA302" s="31">
        <f>IF(AA301+AK302-Q302&lt;=0.01,0,ROUND(AA301+AK302-Q302,2))</f>
        <v>0.0</v>
      </c>
      <c r="AB302" s="31">
        <f>ROUND(R301*AB$5/1200,2)</f>
        <v>0.0</v>
      </c>
      <c r="AC302" s="31">
        <f>ROUND(S301*AC$5/1200,2)</f>
        <v>0.0</v>
      </c>
      <c r="AD302" s="31">
        <f>ROUND(T301*AD$5/1200,2)</f>
        <v>0.0</v>
      </c>
      <c r="AE302" s="31">
        <f>ROUND(U301*AE$5/1200,2)</f>
        <v>0.0</v>
      </c>
      <c r="AF302" s="31">
        <f>ROUND(V301*AF$5/1200,2)</f>
        <v>0.0</v>
      </c>
      <c r="AG302" s="31">
        <f>ROUND(W301*AG$5/1200,2)</f>
        <v>0.0</v>
      </c>
      <c r="AH302" s="31">
        <f>ROUND(X301*AH$5/1200,2)</f>
        <v>0.0</v>
      </c>
      <c r="AI302" s="31">
        <f>ROUND(Y301*AI$5/1200,2)</f>
        <v>0.0</v>
      </c>
      <c r="AJ302" s="31">
        <f>ROUND(Z301*AJ$5/1200,2)</f>
        <v>0.0</v>
      </c>
      <c r="AK302" s="31">
        <f>ROUND(AA301*AK$5/1200,2)</f>
        <v>0.0</v>
      </c>
      <c r="AL302" s="31">
        <f>MIN(AL$5,R301+AB302)</f>
        <v>0.0</v>
      </c>
      <c r="AM302" s="31">
        <f>MIN(AM$5,S301+AC302)</f>
        <v>0.0</v>
      </c>
      <c r="AN302" s="31">
        <f>MIN(AN$5,T301+AD302)</f>
        <v>0.0</v>
      </c>
      <c r="AO302" s="31">
        <f>MIN(AO$5,U301+AE302)</f>
        <v>0.0</v>
      </c>
      <c r="AP302" s="31">
        <f>MIN(AP$5,V301+AF302)</f>
        <v>0.0</v>
      </c>
      <c r="AQ302" s="31">
        <f>MIN(AQ$5,W301+AG302)</f>
        <v>0.0</v>
      </c>
      <c r="AR302" s="31">
        <f>MIN(AR$5,X301+AH302)</f>
        <v>0.0</v>
      </c>
      <c r="AS302" s="31">
        <f>MIN(AS$5,Y301+AI302)</f>
        <v>0.0</v>
      </c>
      <c r="AT302" s="31">
        <f>MIN(AT$5,Z301+AJ302)</f>
        <v>0.0</v>
      </c>
      <c r="AU302" s="31">
        <f>MIN(AU$5,AA301+AK302)</f>
        <v>0.0</v>
      </c>
    </row>
    <row r="303">
      <c r="A303" s="25" t="str">
        <f>IF(F302&gt;0.005,298,"")</f>
        <v/>
      </c>
      <c r="B303" s="33" t="str">
        <f>IF(A303="","",EDATE(Долги!$D$5,297))</f>
        <v/>
      </c>
      <c r="C303" s="31">
        <f>SUM(H303:Q303)</f>
        <v>0.0</v>
      </c>
      <c r="D303" s="31">
        <f>SUM(AB303:AK303)</f>
        <v>0.0</v>
      </c>
      <c r="E303" s="31">
        <f>C303-D303</f>
        <v>0.0</v>
      </c>
      <c r="F303" s="31">
        <f>SUM(R303:AA303)</f>
        <v>0.0</v>
      </c>
      <c r="G303" s="34" t="str">
        <f>IF(OR(A303="",$F$5&lt;=0),"",REPT("█",ROUND(20*F303/$F$5,0)))</f>
        <v/>
      </c>
      <c r="H303" s="31">
        <f>AL303+MIN(R302+AB303-AL303,MAX(0,ROUND(Долги!$D$19-SUM($AL303:$AU303),2)))</f>
        <v>0.0</v>
      </c>
      <c r="I303" s="31">
        <f>AM303+MIN(S302+AC303-AM303,MAX(0,ROUND(ROUND(Долги!$D$19-SUM($AL303:$AU303),2)-(SUM($H303:H303)-SUM($AL303:AL303)),2)))</f>
        <v>0.0</v>
      </c>
      <c r="J303" s="31">
        <f>AN303+MIN(T302+AD303-AN303,MAX(0,ROUND(ROUND(Долги!$D$19-SUM($AL303:$AU303),2)-(SUM($H303:I303)-SUM($AL303:AM303)),2)))</f>
        <v>0.0</v>
      </c>
      <c r="K303" s="31">
        <f>AO303+MIN(U302+AE303-AO303,MAX(0,ROUND(ROUND(Долги!$D$19-SUM($AL303:$AU303),2)-(SUM($H303:J303)-SUM($AL303:AN303)),2)))</f>
        <v>0.0</v>
      </c>
      <c r="L303" s="31">
        <f>AP303+MIN(V302+AF303-AP303,MAX(0,ROUND(ROUND(Долги!$D$19-SUM($AL303:$AU303),2)-(SUM($H303:K303)-SUM($AL303:AO303)),2)))</f>
        <v>0.0</v>
      </c>
      <c r="M303" s="31">
        <f>AQ303+MIN(W302+AG303-AQ303,MAX(0,ROUND(ROUND(Долги!$D$19-SUM($AL303:$AU303),2)-(SUM($H303:L303)-SUM($AL303:AP303)),2)))</f>
        <v>0.0</v>
      </c>
      <c r="N303" s="31">
        <f>AR303+MIN(X302+AH303-AR303,MAX(0,ROUND(ROUND(Долги!$D$19-SUM($AL303:$AU303),2)-(SUM($H303:M303)-SUM($AL303:AQ303)),2)))</f>
        <v>0.0</v>
      </c>
      <c r="O303" s="31">
        <f>AS303+MIN(Y302+AI303-AS303,MAX(0,ROUND(ROUND(Долги!$D$19-SUM($AL303:$AU303),2)-(SUM($H303:N303)-SUM($AL303:AR303)),2)))</f>
        <v>0.0</v>
      </c>
      <c r="P303" s="31">
        <f>AT303+MIN(Z302+AJ303-AT303,MAX(0,ROUND(ROUND(Долги!$D$19-SUM($AL303:$AU303),2)-(SUM($H303:O303)-SUM($AL303:AS303)),2)))</f>
        <v>0.0</v>
      </c>
      <c r="Q303" s="31">
        <f>AU303+MIN(AA302+AK303-AU303,MAX(0,ROUND(ROUND(Долги!$D$19-SUM($AL303:$AU303),2)-(SUM($H303:P303)-SUM($AL303:AT303)),2)))</f>
        <v>0.0</v>
      </c>
      <c r="R303" s="31">
        <f>IF(R302+AB303-H303&lt;=0.01,0,ROUND(R302+AB303-H303,2))</f>
        <v>0.0</v>
      </c>
      <c r="S303" s="31">
        <f>IF(S302+AC303-I303&lt;=0.01,0,ROUND(S302+AC303-I303,2))</f>
        <v>0.0</v>
      </c>
      <c r="T303" s="31">
        <f>IF(T302+AD303-J303&lt;=0.01,0,ROUND(T302+AD303-J303,2))</f>
        <v>0.0</v>
      </c>
      <c r="U303" s="31">
        <f>IF(U302+AE303-K303&lt;=0.01,0,ROUND(U302+AE303-K303,2))</f>
        <v>0.0</v>
      </c>
      <c r="V303" s="31">
        <f>IF(V302+AF303-L303&lt;=0.01,0,ROUND(V302+AF303-L303,2))</f>
        <v>0.0</v>
      </c>
      <c r="W303" s="31">
        <f>IF(W302+AG303-M303&lt;=0.01,0,ROUND(W302+AG303-M303,2))</f>
        <v>0.0</v>
      </c>
      <c r="X303" s="31">
        <f>IF(X302+AH303-N303&lt;=0.01,0,ROUND(X302+AH303-N303,2))</f>
        <v>0.0</v>
      </c>
      <c r="Y303" s="31">
        <f>IF(Y302+AI303-O303&lt;=0.01,0,ROUND(Y302+AI303-O303,2))</f>
        <v>0.0</v>
      </c>
      <c r="Z303" s="31">
        <f>IF(Z302+AJ303-P303&lt;=0.01,0,ROUND(Z302+AJ303-P303,2))</f>
        <v>0.0</v>
      </c>
      <c r="AA303" s="31">
        <f>IF(AA302+AK303-Q303&lt;=0.01,0,ROUND(AA302+AK303-Q303,2))</f>
        <v>0.0</v>
      </c>
      <c r="AB303" s="31">
        <f>ROUND(R302*AB$5/1200,2)</f>
        <v>0.0</v>
      </c>
      <c r="AC303" s="31">
        <f>ROUND(S302*AC$5/1200,2)</f>
        <v>0.0</v>
      </c>
      <c r="AD303" s="31">
        <f>ROUND(T302*AD$5/1200,2)</f>
        <v>0.0</v>
      </c>
      <c r="AE303" s="31">
        <f>ROUND(U302*AE$5/1200,2)</f>
        <v>0.0</v>
      </c>
      <c r="AF303" s="31">
        <f>ROUND(V302*AF$5/1200,2)</f>
        <v>0.0</v>
      </c>
      <c r="AG303" s="31">
        <f>ROUND(W302*AG$5/1200,2)</f>
        <v>0.0</v>
      </c>
      <c r="AH303" s="31">
        <f>ROUND(X302*AH$5/1200,2)</f>
        <v>0.0</v>
      </c>
      <c r="AI303" s="31">
        <f>ROUND(Y302*AI$5/1200,2)</f>
        <v>0.0</v>
      </c>
      <c r="AJ303" s="31">
        <f>ROUND(Z302*AJ$5/1200,2)</f>
        <v>0.0</v>
      </c>
      <c r="AK303" s="31">
        <f>ROUND(AA302*AK$5/1200,2)</f>
        <v>0.0</v>
      </c>
      <c r="AL303" s="31">
        <f>MIN(AL$5,R302+AB303)</f>
        <v>0.0</v>
      </c>
      <c r="AM303" s="31">
        <f>MIN(AM$5,S302+AC303)</f>
        <v>0.0</v>
      </c>
      <c r="AN303" s="31">
        <f>MIN(AN$5,T302+AD303)</f>
        <v>0.0</v>
      </c>
      <c r="AO303" s="31">
        <f>MIN(AO$5,U302+AE303)</f>
        <v>0.0</v>
      </c>
      <c r="AP303" s="31">
        <f>MIN(AP$5,V302+AF303)</f>
        <v>0.0</v>
      </c>
      <c r="AQ303" s="31">
        <f>MIN(AQ$5,W302+AG303)</f>
        <v>0.0</v>
      </c>
      <c r="AR303" s="31">
        <f>MIN(AR$5,X302+AH303)</f>
        <v>0.0</v>
      </c>
      <c r="AS303" s="31">
        <f>MIN(AS$5,Y302+AI303)</f>
        <v>0.0</v>
      </c>
      <c r="AT303" s="31">
        <f>MIN(AT$5,Z302+AJ303)</f>
        <v>0.0</v>
      </c>
      <c r="AU303" s="31">
        <f>MIN(AU$5,AA302+AK303)</f>
        <v>0.0</v>
      </c>
    </row>
    <row r="304">
      <c r="A304" s="25" t="str">
        <f>IF(F303&gt;0.005,299,"")</f>
        <v/>
      </c>
      <c r="B304" s="33" t="str">
        <f>IF(A304="","",EDATE(Долги!$D$5,298))</f>
        <v/>
      </c>
      <c r="C304" s="31">
        <f>SUM(H304:Q304)</f>
        <v>0.0</v>
      </c>
      <c r="D304" s="31">
        <f>SUM(AB304:AK304)</f>
        <v>0.0</v>
      </c>
      <c r="E304" s="31">
        <f>C304-D304</f>
        <v>0.0</v>
      </c>
      <c r="F304" s="31">
        <f>SUM(R304:AA304)</f>
        <v>0.0</v>
      </c>
      <c r="G304" s="34" t="str">
        <f>IF(OR(A304="",$F$5&lt;=0),"",REPT("█",ROUND(20*F304/$F$5,0)))</f>
        <v/>
      </c>
      <c r="H304" s="31">
        <f>AL304+MIN(R303+AB304-AL304,MAX(0,ROUND(Долги!$D$19-SUM($AL304:$AU304),2)))</f>
        <v>0.0</v>
      </c>
      <c r="I304" s="31">
        <f>AM304+MIN(S303+AC304-AM304,MAX(0,ROUND(ROUND(Долги!$D$19-SUM($AL304:$AU304),2)-(SUM($H304:H304)-SUM($AL304:AL304)),2)))</f>
        <v>0.0</v>
      </c>
      <c r="J304" s="31">
        <f>AN304+MIN(T303+AD304-AN304,MAX(0,ROUND(ROUND(Долги!$D$19-SUM($AL304:$AU304),2)-(SUM($H304:I304)-SUM($AL304:AM304)),2)))</f>
        <v>0.0</v>
      </c>
      <c r="K304" s="31">
        <f>AO304+MIN(U303+AE304-AO304,MAX(0,ROUND(ROUND(Долги!$D$19-SUM($AL304:$AU304),2)-(SUM($H304:J304)-SUM($AL304:AN304)),2)))</f>
        <v>0.0</v>
      </c>
      <c r="L304" s="31">
        <f>AP304+MIN(V303+AF304-AP304,MAX(0,ROUND(ROUND(Долги!$D$19-SUM($AL304:$AU304),2)-(SUM($H304:K304)-SUM($AL304:AO304)),2)))</f>
        <v>0.0</v>
      </c>
      <c r="M304" s="31">
        <f>AQ304+MIN(W303+AG304-AQ304,MAX(0,ROUND(ROUND(Долги!$D$19-SUM($AL304:$AU304),2)-(SUM($H304:L304)-SUM($AL304:AP304)),2)))</f>
        <v>0.0</v>
      </c>
      <c r="N304" s="31">
        <f>AR304+MIN(X303+AH304-AR304,MAX(0,ROUND(ROUND(Долги!$D$19-SUM($AL304:$AU304),2)-(SUM($H304:M304)-SUM($AL304:AQ304)),2)))</f>
        <v>0.0</v>
      </c>
      <c r="O304" s="31">
        <f>AS304+MIN(Y303+AI304-AS304,MAX(0,ROUND(ROUND(Долги!$D$19-SUM($AL304:$AU304),2)-(SUM($H304:N304)-SUM($AL304:AR304)),2)))</f>
        <v>0.0</v>
      </c>
      <c r="P304" s="31">
        <f>AT304+MIN(Z303+AJ304-AT304,MAX(0,ROUND(ROUND(Долги!$D$19-SUM($AL304:$AU304),2)-(SUM($H304:O304)-SUM($AL304:AS304)),2)))</f>
        <v>0.0</v>
      </c>
      <c r="Q304" s="31">
        <f>AU304+MIN(AA303+AK304-AU304,MAX(0,ROUND(ROUND(Долги!$D$19-SUM($AL304:$AU304),2)-(SUM($H304:P304)-SUM($AL304:AT304)),2)))</f>
        <v>0.0</v>
      </c>
      <c r="R304" s="31">
        <f>IF(R303+AB304-H304&lt;=0.01,0,ROUND(R303+AB304-H304,2))</f>
        <v>0.0</v>
      </c>
      <c r="S304" s="31">
        <f>IF(S303+AC304-I304&lt;=0.01,0,ROUND(S303+AC304-I304,2))</f>
        <v>0.0</v>
      </c>
      <c r="T304" s="31">
        <f>IF(T303+AD304-J304&lt;=0.01,0,ROUND(T303+AD304-J304,2))</f>
        <v>0.0</v>
      </c>
      <c r="U304" s="31">
        <f>IF(U303+AE304-K304&lt;=0.01,0,ROUND(U303+AE304-K304,2))</f>
        <v>0.0</v>
      </c>
      <c r="V304" s="31">
        <f>IF(V303+AF304-L304&lt;=0.01,0,ROUND(V303+AF304-L304,2))</f>
        <v>0.0</v>
      </c>
      <c r="W304" s="31">
        <f>IF(W303+AG304-M304&lt;=0.01,0,ROUND(W303+AG304-M304,2))</f>
        <v>0.0</v>
      </c>
      <c r="X304" s="31">
        <f>IF(X303+AH304-N304&lt;=0.01,0,ROUND(X303+AH304-N304,2))</f>
        <v>0.0</v>
      </c>
      <c r="Y304" s="31">
        <f>IF(Y303+AI304-O304&lt;=0.01,0,ROUND(Y303+AI304-O304,2))</f>
        <v>0.0</v>
      </c>
      <c r="Z304" s="31">
        <f>IF(Z303+AJ304-P304&lt;=0.01,0,ROUND(Z303+AJ304-P304,2))</f>
        <v>0.0</v>
      </c>
      <c r="AA304" s="31">
        <f>IF(AA303+AK304-Q304&lt;=0.01,0,ROUND(AA303+AK304-Q304,2))</f>
        <v>0.0</v>
      </c>
      <c r="AB304" s="31">
        <f>ROUND(R303*AB$5/1200,2)</f>
        <v>0.0</v>
      </c>
      <c r="AC304" s="31">
        <f>ROUND(S303*AC$5/1200,2)</f>
        <v>0.0</v>
      </c>
      <c r="AD304" s="31">
        <f>ROUND(T303*AD$5/1200,2)</f>
        <v>0.0</v>
      </c>
      <c r="AE304" s="31">
        <f>ROUND(U303*AE$5/1200,2)</f>
        <v>0.0</v>
      </c>
      <c r="AF304" s="31">
        <f>ROUND(V303*AF$5/1200,2)</f>
        <v>0.0</v>
      </c>
      <c r="AG304" s="31">
        <f>ROUND(W303*AG$5/1200,2)</f>
        <v>0.0</v>
      </c>
      <c r="AH304" s="31">
        <f>ROUND(X303*AH$5/1200,2)</f>
        <v>0.0</v>
      </c>
      <c r="AI304" s="31">
        <f>ROUND(Y303*AI$5/1200,2)</f>
        <v>0.0</v>
      </c>
      <c r="AJ304" s="31">
        <f>ROUND(Z303*AJ$5/1200,2)</f>
        <v>0.0</v>
      </c>
      <c r="AK304" s="31">
        <f>ROUND(AA303*AK$5/1200,2)</f>
        <v>0.0</v>
      </c>
      <c r="AL304" s="31">
        <f>MIN(AL$5,R303+AB304)</f>
        <v>0.0</v>
      </c>
      <c r="AM304" s="31">
        <f>MIN(AM$5,S303+AC304)</f>
        <v>0.0</v>
      </c>
      <c r="AN304" s="31">
        <f>MIN(AN$5,T303+AD304)</f>
        <v>0.0</v>
      </c>
      <c r="AO304" s="31">
        <f>MIN(AO$5,U303+AE304)</f>
        <v>0.0</v>
      </c>
      <c r="AP304" s="31">
        <f>MIN(AP$5,V303+AF304)</f>
        <v>0.0</v>
      </c>
      <c r="AQ304" s="31">
        <f>MIN(AQ$5,W303+AG304)</f>
        <v>0.0</v>
      </c>
      <c r="AR304" s="31">
        <f>MIN(AR$5,X303+AH304)</f>
        <v>0.0</v>
      </c>
      <c r="AS304" s="31">
        <f>MIN(AS$5,Y303+AI304)</f>
        <v>0.0</v>
      </c>
      <c r="AT304" s="31">
        <f>MIN(AT$5,Z303+AJ304)</f>
        <v>0.0</v>
      </c>
      <c r="AU304" s="31">
        <f>MIN(AU$5,AA303+AK304)</f>
        <v>0.0</v>
      </c>
    </row>
    <row r="305">
      <c r="A305" s="25" t="str">
        <f>IF(F304&gt;0.005,300,"")</f>
        <v/>
      </c>
      <c r="B305" s="33" t="str">
        <f>IF(A305="","",EDATE(Долги!$D$5,299))</f>
        <v/>
      </c>
      <c r="C305" s="31">
        <f>SUM(H305:Q305)</f>
        <v>0.0</v>
      </c>
      <c r="D305" s="31">
        <f>SUM(AB305:AK305)</f>
        <v>0.0</v>
      </c>
      <c r="E305" s="31">
        <f>C305-D305</f>
        <v>0.0</v>
      </c>
      <c r="F305" s="31">
        <f>SUM(R305:AA305)</f>
        <v>0.0</v>
      </c>
      <c r="G305" s="34" t="str">
        <f>IF(OR(A305="",$F$5&lt;=0),"",REPT("█",ROUND(20*F305/$F$5,0)))</f>
        <v/>
      </c>
      <c r="H305" s="31">
        <f>AL305+MIN(R304+AB305-AL305,MAX(0,ROUND(Долги!$D$19-SUM($AL305:$AU305),2)))</f>
        <v>0.0</v>
      </c>
      <c r="I305" s="31">
        <f>AM305+MIN(S304+AC305-AM305,MAX(0,ROUND(ROUND(Долги!$D$19-SUM($AL305:$AU305),2)-(SUM($H305:H305)-SUM($AL305:AL305)),2)))</f>
        <v>0.0</v>
      </c>
      <c r="J305" s="31">
        <f>AN305+MIN(T304+AD305-AN305,MAX(0,ROUND(ROUND(Долги!$D$19-SUM($AL305:$AU305),2)-(SUM($H305:I305)-SUM($AL305:AM305)),2)))</f>
        <v>0.0</v>
      </c>
      <c r="K305" s="31">
        <f>AO305+MIN(U304+AE305-AO305,MAX(0,ROUND(ROUND(Долги!$D$19-SUM($AL305:$AU305),2)-(SUM($H305:J305)-SUM($AL305:AN305)),2)))</f>
        <v>0.0</v>
      </c>
      <c r="L305" s="31">
        <f>AP305+MIN(V304+AF305-AP305,MAX(0,ROUND(ROUND(Долги!$D$19-SUM($AL305:$AU305),2)-(SUM($H305:K305)-SUM($AL305:AO305)),2)))</f>
        <v>0.0</v>
      </c>
      <c r="M305" s="31">
        <f>AQ305+MIN(W304+AG305-AQ305,MAX(0,ROUND(ROUND(Долги!$D$19-SUM($AL305:$AU305),2)-(SUM($H305:L305)-SUM($AL305:AP305)),2)))</f>
        <v>0.0</v>
      </c>
      <c r="N305" s="31">
        <f>AR305+MIN(X304+AH305-AR305,MAX(0,ROUND(ROUND(Долги!$D$19-SUM($AL305:$AU305),2)-(SUM($H305:M305)-SUM($AL305:AQ305)),2)))</f>
        <v>0.0</v>
      </c>
      <c r="O305" s="31">
        <f>AS305+MIN(Y304+AI305-AS305,MAX(0,ROUND(ROUND(Долги!$D$19-SUM($AL305:$AU305),2)-(SUM($H305:N305)-SUM($AL305:AR305)),2)))</f>
        <v>0.0</v>
      </c>
      <c r="P305" s="31">
        <f>AT305+MIN(Z304+AJ305-AT305,MAX(0,ROUND(ROUND(Долги!$D$19-SUM($AL305:$AU305),2)-(SUM($H305:O305)-SUM($AL305:AS305)),2)))</f>
        <v>0.0</v>
      </c>
      <c r="Q305" s="31">
        <f>AU305+MIN(AA304+AK305-AU305,MAX(0,ROUND(ROUND(Долги!$D$19-SUM($AL305:$AU305),2)-(SUM($H305:P305)-SUM($AL305:AT305)),2)))</f>
        <v>0.0</v>
      </c>
      <c r="R305" s="31">
        <f>IF(R304+AB305-H305&lt;=0.01,0,ROUND(R304+AB305-H305,2))</f>
        <v>0.0</v>
      </c>
      <c r="S305" s="31">
        <f>IF(S304+AC305-I305&lt;=0.01,0,ROUND(S304+AC305-I305,2))</f>
        <v>0.0</v>
      </c>
      <c r="T305" s="31">
        <f>IF(T304+AD305-J305&lt;=0.01,0,ROUND(T304+AD305-J305,2))</f>
        <v>0.0</v>
      </c>
      <c r="U305" s="31">
        <f>IF(U304+AE305-K305&lt;=0.01,0,ROUND(U304+AE305-K305,2))</f>
        <v>0.0</v>
      </c>
      <c r="V305" s="31">
        <f>IF(V304+AF305-L305&lt;=0.01,0,ROUND(V304+AF305-L305,2))</f>
        <v>0.0</v>
      </c>
      <c r="W305" s="31">
        <f>IF(W304+AG305-M305&lt;=0.01,0,ROUND(W304+AG305-M305,2))</f>
        <v>0.0</v>
      </c>
      <c r="X305" s="31">
        <f>IF(X304+AH305-N305&lt;=0.01,0,ROUND(X304+AH305-N305,2))</f>
        <v>0.0</v>
      </c>
      <c r="Y305" s="31">
        <f>IF(Y304+AI305-O305&lt;=0.01,0,ROUND(Y304+AI305-O305,2))</f>
        <v>0.0</v>
      </c>
      <c r="Z305" s="31">
        <f>IF(Z304+AJ305-P305&lt;=0.01,0,ROUND(Z304+AJ305-P305,2))</f>
        <v>0.0</v>
      </c>
      <c r="AA305" s="31">
        <f>IF(AA304+AK305-Q305&lt;=0.01,0,ROUND(AA304+AK305-Q305,2))</f>
        <v>0.0</v>
      </c>
      <c r="AB305" s="31">
        <f>ROUND(R304*AB$5/1200,2)</f>
        <v>0.0</v>
      </c>
      <c r="AC305" s="31">
        <f>ROUND(S304*AC$5/1200,2)</f>
        <v>0.0</v>
      </c>
      <c r="AD305" s="31">
        <f>ROUND(T304*AD$5/1200,2)</f>
        <v>0.0</v>
      </c>
      <c r="AE305" s="31">
        <f>ROUND(U304*AE$5/1200,2)</f>
        <v>0.0</v>
      </c>
      <c r="AF305" s="31">
        <f>ROUND(V304*AF$5/1200,2)</f>
        <v>0.0</v>
      </c>
      <c r="AG305" s="31">
        <f>ROUND(W304*AG$5/1200,2)</f>
        <v>0.0</v>
      </c>
      <c r="AH305" s="31">
        <f>ROUND(X304*AH$5/1200,2)</f>
        <v>0.0</v>
      </c>
      <c r="AI305" s="31">
        <f>ROUND(Y304*AI$5/1200,2)</f>
        <v>0.0</v>
      </c>
      <c r="AJ305" s="31">
        <f>ROUND(Z304*AJ$5/1200,2)</f>
        <v>0.0</v>
      </c>
      <c r="AK305" s="31">
        <f>ROUND(AA304*AK$5/1200,2)</f>
        <v>0.0</v>
      </c>
      <c r="AL305" s="31">
        <f>MIN(AL$5,R304+AB305)</f>
        <v>0.0</v>
      </c>
      <c r="AM305" s="31">
        <f>MIN(AM$5,S304+AC305)</f>
        <v>0.0</v>
      </c>
      <c r="AN305" s="31">
        <f>MIN(AN$5,T304+AD305)</f>
        <v>0.0</v>
      </c>
      <c r="AO305" s="31">
        <f>MIN(AO$5,U304+AE305)</f>
        <v>0.0</v>
      </c>
      <c r="AP305" s="31">
        <f>MIN(AP$5,V304+AF305)</f>
        <v>0.0</v>
      </c>
      <c r="AQ305" s="31">
        <f>MIN(AQ$5,W304+AG305)</f>
        <v>0.0</v>
      </c>
      <c r="AR305" s="31">
        <f>MIN(AR$5,X304+AH305)</f>
        <v>0.0</v>
      </c>
      <c r="AS305" s="31">
        <f>MIN(AS$5,Y304+AI305)</f>
        <v>0.0</v>
      </c>
      <c r="AT305" s="31">
        <f>MIN(AT$5,Z304+AJ305)</f>
        <v>0.0</v>
      </c>
      <c r="AU305" s="31">
        <f>MIN(AU$5,AA304+AK305)</f>
        <v>0.0</v>
      </c>
    </row>
    <row r="306">
      <c r="A306" s="25" t="str">
        <f>IF(F305&gt;0.005,301,"")</f>
        <v/>
      </c>
      <c r="B306" s="33" t="str">
        <f>IF(A306="","",EDATE(Долги!$D$5,300))</f>
        <v/>
      </c>
      <c r="C306" s="31">
        <f>SUM(H306:Q306)</f>
        <v>0.0</v>
      </c>
      <c r="D306" s="31">
        <f>SUM(AB306:AK306)</f>
        <v>0.0</v>
      </c>
      <c r="E306" s="31">
        <f>C306-D306</f>
        <v>0.0</v>
      </c>
      <c r="F306" s="31">
        <f>SUM(R306:AA306)</f>
        <v>0.0</v>
      </c>
      <c r="G306" s="34" t="str">
        <f>IF(OR(A306="",$F$5&lt;=0),"",REPT("█",ROUND(20*F306/$F$5,0)))</f>
        <v/>
      </c>
      <c r="H306" s="31">
        <f>AL306+MIN(R305+AB306-AL306,MAX(0,ROUND(Долги!$D$19-SUM($AL306:$AU306),2)))</f>
        <v>0.0</v>
      </c>
      <c r="I306" s="31">
        <f>AM306+MIN(S305+AC306-AM306,MAX(0,ROUND(ROUND(Долги!$D$19-SUM($AL306:$AU306),2)-(SUM($H306:H306)-SUM($AL306:AL306)),2)))</f>
        <v>0.0</v>
      </c>
      <c r="J306" s="31">
        <f>AN306+MIN(T305+AD306-AN306,MAX(0,ROUND(ROUND(Долги!$D$19-SUM($AL306:$AU306),2)-(SUM($H306:I306)-SUM($AL306:AM306)),2)))</f>
        <v>0.0</v>
      </c>
      <c r="K306" s="31">
        <f>AO306+MIN(U305+AE306-AO306,MAX(0,ROUND(ROUND(Долги!$D$19-SUM($AL306:$AU306),2)-(SUM($H306:J306)-SUM($AL306:AN306)),2)))</f>
        <v>0.0</v>
      </c>
      <c r="L306" s="31">
        <f>AP306+MIN(V305+AF306-AP306,MAX(0,ROUND(ROUND(Долги!$D$19-SUM($AL306:$AU306),2)-(SUM($H306:K306)-SUM($AL306:AO306)),2)))</f>
        <v>0.0</v>
      </c>
      <c r="M306" s="31">
        <f>AQ306+MIN(W305+AG306-AQ306,MAX(0,ROUND(ROUND(Долги!$D$19-SUM($AL306:$AU306),2)-(SUM($H306:L306)-SUM($AL306:AP306)),2)))</f>
        <v>0.0</v>
      </c>
      <c r="N306" s="31">
        <f>AR306+MIN(X305+AH306-AR306,MAX(0,ROUND(ROUND(Долги!$D$19-SUM($AL306:$AU306),2)-(SUM($H306:M306)-SUM($AL306:AQ306)),2)))</f>
        <v>0.0</v>
      </c>
      <c r="O306" s="31">
        <f>AS306+MIN(Y305+AI306-AS306,MAX(0,ROUND(ROUND(Долги!$D$19-SUM($AL306:$AU306),2)-(SUM($H306:N306)-SUM($AL306:AR306)),2)))</f>
        <v>0.0</v>
      </c>
      <c r="P306" s="31">
        <f>AT306+MIN(Z305+AJ306-AT306,MAX(0,ROUND(ROUND(Долги!$D$19-SUM($AL306:$AU306),2)-(SUM($H306:O306)-SUM($AL306:AS306)),2)))</f>
        <v>0.0</v>
      </c>
      <c r="Q306" s="31">
        <f>AU306+MIN(AA305+AK306-AU306,MAX(0,ROUND(ROUND(Долги!$D$19-SUM($AL306:$AU306),2)-(SUM($H306:P306)-SUM($AL306:AT306)),2)))</f>
        <v>0.0</v>
      </c>
      <c r="R306" s="31">
        <f>IF(R305+AB306-H306&lt;=0.01,0,ROUND(R305+AB306-H306,2))</f>
        <v>0.0</v>
      </c>
      <c r="S306" s="31">
        <f>IF(S305+AC306-I306&lt;=0.01,0,ROUND(S305+AC306-I306,2))</f>
        <v>0.0</v>
      </c>
      <c r="T306" s="31">
        <f>IF(T305+AD306-J306&lt;=0.01,0,ROUND(T305+AD306-J306,2))</f>
        <v>0.0</v>
      </c>
      <c r="U306" s="31">
        <f>IF(U305+AE306-K306&lt;=0.01,0,ROUND(U305+AE306-K306,2))</f>
        <v>0.0</v>
      </c>
      <c r="V306" s="31">
        <f>IF(V305+AF306-L306&lt;=0.01,0,ROUND(V305+AF306-L306,2))</f>
        <v>0.0</v>
      </c>
      <c r="W306" s="31">
        <f>IF(W305+AG306-M306&lt;=0.01,0,ROUND(W305+AG306-M306,2))</f>
        <v>0.0</v>
      </c>
      <c r="X306" s="31">
        <f>IF(X305+AH306-N306&lt;=0.01,0,ROUND(X305+AH306-N306,2))</f>
        <v>0.0</v>
      </c>
      <c r="Y306" s="31">
        <f>IF(Y305+AI306-O306&lt;=0.01,0,ROUND(Y305+AI306-O306,2))</f>
        <v>0.0</v>
      </c>
      <c r="Z306" s="31">
        <f>IF(Z305+AJ306-P306&lt;=0.01,0,ROUND(Z305+AJ306-P306,2))</f>
        <v>0.0</v>
      </c>
      <c r="AA306" s="31">
        <f>IF(AA305+AK306-Q306&lt;=0.01,0,ROUND(AA305+AK306-Q306,2))</f>
        <v>0.0</v>
      </c>
      <c r="AB306" s="31">
        <f>ROUND(R305*AB$5/1200,2)</f>
        <v>0.0</v>
      </c>
      <c r="AC306" s="31">
        <f>ROUND(S305*AC$5/1200,2)</f>
        <v>0.0</v>
      </c>
      <c r="AD306" s="31">
        <f>ROUND(T305*AD$5/1200,2)</f>
        <v>0.0</v>
      </c>
      <c r="AE306" s="31">
        <f>ROUND(U305*AE$5/1200,2)</f>
        <v>0.0</v>
      </c>
      <c r="AF306" s="31">
        <f>ROUND(V305*AF$5/1200,2)</f>
        <v>0.0</v>
      </c>
      <c r="AG306" s="31">
        <f>ROUND(W305*AG$5/1200,2)</f>
        <v>0.0</v>
      </c>
      <c r="AH306" s="31">
        <f>ROUND(X305*AH$5/1200,2)</f>
        <v>0.0</v>
      </c>
      <c r="AI306" s="31">
        <f>ROUND(Y305*AI$5/1200,2)</f>
        <v>0.0</v>
      </c>
      <c r="AJ306" s="31">
        <f>ROUND(Z305*AJ$5/1200,2)</f>
        <v>0.0</v>
      </c>
      <c r="AK306" s="31">
        <f>ROUND(AA305*AK$5/1200,2)</f>
        <v>0.0</v>
      </c>
      <c r="AL306" s="31">
        <f>MIN(AL$5,R305+AB306)</f>
        <v>0.0</v>
      </c>
      <c r="AM306" s="31">
        <f>MIN(AM$5,S305+AC306)</f>
        <v>0.0</v>
      </c>
      <c r="AN306" s="31">
        <f>MIN(AN$5,T305+AD306)</f>
        <v>0.0</v>
      </c>
      <c r="AO306" s="31">
        <f>MIN(AO$5,U305+AE306)</f>
        <v>0.0</v>
      </c>
      <c r="AP306" s="31">
        <f>MIN(AP$5,V305+AF306)</f>
        <v>0.0</v>
      </c>
      <c r="AQ306" s="31">
        <f>MIN(AQ$5,W305+AG306)</f>
        <v>0.0</v>
      </c>
      <c r="AR306" s="31">
        <f>MIN(AR$5,X305+AH306)</f>
        <v>0.0</v>
      </c>
      <c r="AS306" s="31">
        <f>MIN(AS$5,Y305+AI306)</f>
        <v>0.0</v>
      </c>
      <c r="AT306" s="31">
        <f>MIN(AT$5,Z305+AJ306)</f>
        <v>0.0</v>
      </c>
      <c r="AU306" s="31">
        <f>MIN(AU$5,AA305+AK306)</f>
        <v>0.0</v>
      </c>
    </row>
    <row r="307">
      <c r="A307" s="25" t="str">
        <f>IF(F306&gt;0.005,302,"")</f>
        <v/>
      </c>
      <c r="B307" s="33" t="str">
        <f>IF(A307="","",EDATE(Долги!$D$5,301))</f>
        <v/>
      </c>
      <c r="C307" s="31">
        <f>SUM(H307:Q307)</f>
        <v>0.0</v>
      </c>
      <c r="D307" s="31">
        <f>SUM(AB307:AK307)</f>
        <v>0.0</v>
      </c>
      <c r="E307" s="31">
        <f>C307-D307</f>
        <v>0.0</v>
      </c>
      <c r="F307" s="31">
        <f>SUM(R307:AA307)</f>
        <v>0.0</v>
      </c>
      <c r="G307" s="34" t="str">
        <f>IF(OR(A307="",$F$5&lt;=0),"",REPT("█",ROUND(20*F307/$F$5,0)))</f>
        <v/>
      </c>
      <c r="H307" s="31">
        <f>AL307+MIN(R306+AB307-AL307,MAX(0,ROUND(Долги!$D$19-SUM($AL307:$AU307),2)))</f>
        <v>0.0</v>
      </c>
      <c r="I307" s="31">
        <f>AM307+MIN(S306+AC307-AM307,MAX(0,ROUND(ROUND(Долги!$D$19-SUM($AL307:$AU307),2)-(SUM($H307:H307)-SUM($AL307:AL307)),2)))</f>
        <v>0.0</v>
      </c>
      <c r="J307" s="31">
        <f>AN307+MIN(T306+AD307-AN307,MAX(0,ROUND(ROUND(Долги!$D$19-SUM($AL307:$AU307),2)-(SUM($H307:I307)-SUM($AL307:AM307)),2)))</f>
        <v>0.0</v>
      </c>
      <c r="K307" s="31">
        <f>AO307+MIN(U306+AE307-AO307,MAX(0,ROUND(ROUND(Долги!$D$19-SUM($AL307:$AU307),2)-(SUM($H307:J307)-SUM($AL307:AN307)),2)))</f>
        <v>0.0</v>
      </c>
      <c r="L307" s="31">
        <f>AP307+MIN(V306+AF307-AP307,MAX(0,ROUND(ROUND(Долги!$D$19-SUM($AL307:$AU307),2)-(SUM($H307:K307)-SUM($AL307:AO307)),2)))</f>
        <v>0.0</v>
      </c>
      <c r="M307" s="31">
        <f>AQ307+MIN(W306+AG307-AQ307,MAX(0,ROUND(ROUND(Долги!$D$19-SUM($AL307:$AU307),2)-(SUM($H307:L307)-SUM($AL307:AP307)),2)))</f>
        <v>0.0</v>
      </c>
      <c r="N307" s="31">
        <f>AR307+MIN(X306+AH307-AR307,MAX(0,ROUND(ROUND(Долги!$D$19-SUM($AL307:$AU307),2)-(SUM($H307:M307)-SUM($AL307:AQ307)),2)))</f>
        <v>0.0</v>
      </c>
      <c r="O307" s="31">
        <f>AS307+MIN(Y306+AI307-AS307,MAX(0,ROUND(ROUND(Долги!$D$19-SUM($AL307:$AU307),2)-(SUM($H307:N307)-SUM($AL307:AR307)),2)))</f>
        <v>0.0</v>
      </c>
      <c r="P307" s="31">
        <f>AT307+MIN(Z306+AJ307-AT307,MAX(0,ROUND(ROUND(Долги!$D$19-SUM($AL307:$AU307),2)-(SUM($H307:O307)-SUM($AL307:AS307)),2)))</f>
        <v>0.0</v>
      </c>
      <c r="Q307" s="31">
        <f>AU307+MIN(AA306+AK307-AU307,MAX(0,ROUND(ROUND(Долги!$D$19-SUM($AL307:$AU307),2)-(SUM($H307:P307)-SUM($AL307:AT307)),2)))</f>
        <v>0.0</v>
      </c>
      <c r="R307" s="31">
        <f>IF(R306+AB307-H307&lt;=0.01,0,ROUND(R306+AB307-H307,2))</f>
        <v>0.0</v>
      </c>
      <c r="S307" s="31">
        <f>IF(S306+AC307-I307&lt;=0.01,0,ROUND(S306+AC307-I307,2))</f>
        <v>0.0</v>
      </c>
      <c r="T307" s="31">
        <f>IF(T306+AD307-J307&lt;=0.01,0,ROUND(T306+AD307-J307,2))</f>
        <v>0.0</v>
      </c>
      <c r="U307" s="31">
        <f>IF(U306+AE307-K307&lt;=0.01,0,ROUND(U306+AE307-K307,2))</f>
        <v>0.0</v>
      </c>
      <c r="V307" s="31">
        <f>IF(V306+AF307-L307&lt;=0.01,0,ROUND(V306+AF307-L307,2))</f>
        <v>0.0</v>
      </c>
      <c r="W307" s="31">
        <f>IF(W306+AG307-M307&lt;=0.01,0,ROUND(W306+AG307-M307,2))</f>
        <v>0.0</v>
      </c>
      <c r="X307" s="31">
        <f>IF(X306+AH307-N307&lt;=0.01,0,ROUND(X306+AH307-N307,2))</f>
        <v>0.0</v>
      </c>
      <c r="Y307" s="31">
        <f>IF(Y306+AI307-O307&lt;=0.01,0,ROUND(Y306+AI307-O307,2))</f>
        <v>0.0</v>
      </c>
      <c r="Z307" s="31">
        <f>IF(Z306+AJ307-P307&lt;=0.01,0,ROUND(Z306+AJ307-P307,2))</f>
        <v>0.0</v>
      </c>
      <c r="AA307" s="31">
        <f>IF(AA306+AK307-Q307&lt;=0.01,0,ROUND(AA306+AK307-Q307,2))</f>
        <v>0.0</v>
      </c>
      <c r="AB307" s="31">
        <f>ROUND(R306*AB$5/1200,2)</f>
        <v>0.0</v>
      </c>
      <c r="AC307" s="31">
        <f>ROUND(S306*AC$5/1200,2)</f>
        <v>0.0</v>
      </c>
      <c r="AD307" s="31">
        <f>ROUND(T306*AD$5/1200,2)</f>
        <v>0.0</v>
      </c>
      <c r="AE307" s="31">
        <f>ROUND(U306*AE$5/1200,2)</f>
        <v>0.0</v>
      </c>
      <c r="AF307" s="31">
        <f>ROUND(V306*AF$5/1200,2)</f>
        <v>0.0</v>
      </c>
      <c r="AG307" s="31">
        <f>ROUND(W306*AG$5/1200,2)</f>
        <v>0.0</v>
      </c>
      <c r="AH307" s="31">
        <f>ROUND(X306*AH$5/1200,2)</f>
        <v>0.0</v>
      </c>
      <c r="AI307" s="31">
        <f>ROUND(Y306*AI$5/1200,2)</f>
        <v>0.0</v>
      </c>
      <c r="AJ307" s="31">
        <f>ROUND(Z306*AJ$5/1200,2)</f>
        <v>0.0</v>
      </c>
      <c r="AK307" s="31">
        <f>ROUND(AA306*AK$5/1200,2)</f>
        <v>0.0</v>
      </c>
      <c r="AL307" s="31">
        <f>MIN(AL$5,R306+AB307)</f>
        <v>0.0</v>
      </c>
      <c r="AM307" s="31">
        <f>MIN(AM$5,S306+AC307)</f>
        <v>0.0</v>
      </c>
      <c r="AN307" s="31">
        <f>MIN(AN$5,T306+AD307)</f>
        <v>0.0</v>
      </c>
      <c r="AO307" s="31">
        <f>MIN(AO$5,U306+AE307)</f>
        <v>0.0</v>
      </c>
      <c r="AP307" s="31">
        <f>MIN(AP$5,V306+AF307)</f>
        <v>0.0</v>
      </c>
      <c r="AQ307" s="31">
        <f>MIN(AQ$5,W306+AG307)</f>
        <v>0.0</v>
      </c>
      <c r="AR307" s="31">
        <f>MIN(AR$5,X306+AH307)</f>
        <v>0.0</v>
      </c>
      <c r="AS307" s="31">
        <f>MIN(AS$5,Y306+AI307)</f>
        <v>0.0</v>
      </c>
      <c r="AT307" s="31">
        <f>MIN(AT$5,Z306+AJ307)</f>
        <v>0.0</v>
      </c>
      <c r="AU307" s="31">
        <f>MIN(AU$5,AA306+AK307)</f>
        <v>0.0</v>
      </c>
    </row>
    <row r="308">
      <c r="A308" s="25" t="str">
        <f>IF(F307&gt;0.005,303,"")</f>
        <v/>
      </c>
      <c r="B308" s="33" t="str">
        <f>IF(A308="","",EDATE(Долги!$D$5,302))</f>
        <v/>
      </c>
      <c r="C308" s="31">
        <f>SUM(H308:Q308)</f>
        <v>0.0</v>
      </c>
      <c r="D308" s="31">
        <f>SUM(AB308:AK308)</f>
        <v>0.0</v>
      </c>
      <c r="E308" s="31">
        <f>C308-D308</f>
        <v>0.0</v>
      </c>
      <c r="F308" s="31">
        <f>SUM(R308:AA308)</f>
        <v>0.0</v>
      </c>
      <c r="G308" s="34" t="str">
        <f>IF(OR(A308="",$F$5&lt;=0),"",REPT("█",ROUND(20*F308/$F$5,0)))</f>
        <v/>
      </c>
      <c r="H308" s="31">
        <f>AL308+MIN(R307+AB308-AL308,MAX(0,ROUND(Долги!$D$19-SUM($AL308:$AU308),2)))</f>
        <v>0.0</v>
      </c>
      <c r="I308" s="31">
        <f>AM308+MIN(S307+AC308-AM308,MAX(0,ROUND(ROUND(Долги!$D$19-SUM($AL308:$AU308),2)-(SUM($H308:H308)-SUM($AL308:AL308)),2)))</f>
        <v>0.0</v>
      </c>
      <c r="J308" s="31">
        <f>AN308+MIN(T307+AD308-AN308,MAX(0,ROUND(ROUND(Долги!$D$19-SUM($AL308:$AU308),2)-(SUM($H308:I308)-SUM($AL308:AM308)),2)))</f>
        <v>0.0</v>
      </c>
      <c r="K308" s="31">
        <f>AO308+MIN(U307+AE308-AO308,MAX(0,ROUND(ROUND(Долги!$D$19-SUM($AL308:$AU308),2)-(SUM($H308:J308)-SUM($AL308:AN308)),2)))</f>
        <v>0.0</v>
      </c>
      <c r="L308" s="31">
        <f>AP308+MIN(V307+AF308-AP308,MAX(0,ROUND(ROUND(Долги!$D$19-SUM($AL308:$AU308),2)-(SUM($H308:K308)-SUM($AL308:AO308)),2)))</f>
        <v>0.0</v>
      </c>
      <c r="M308" s="31">
        <f>AQ308+MIN(W307+AG308-AQ308,MAX(0,ROUND(ROUND(Долги!$D$19-SUM($AL308:$AU308),2)-(SUM($H308:L308)-SUM($AL308:AP308)),2)))</f>
        <v>0.0</v>
      </c>
      <c r="N308" s="31">
        <f>AR308+MIN(X307+AH308-AR308,MAX(0,ROUND(ROUND(Долги!$D$19-SUM($AL308:$AU308),2)-(SUM($H308:M308)-SUM($AL308:AQ308)),2)))</f>
        <v>0.0</v>
      </c>
      <c r="O308" s="31">
        <f>AS308+MIN(Y307+AI308-AS308,MAX(0,ROUND(ROUND(Долги!$D$19-SUM($AL308:$AU308),2)-(SUM($H308:N308)-SUM($AL308:AR308)),2)))</f>
        <v>0.0</v>
      </c>
      <c r="P308" s="31">
        <f>AT308+MIN(Z307+AJ308-AT308,MAX(0,ROUND(ROUND(Долги!$D$19-SUM($AL308:$AU308),2)-(SUM($H308:O308)-SUM($AL308:AS308)),2)))</f>
        <v>0.0</v>
      </c>
      <c r="Q308" s="31">
        <f>AU308+MIN(AA307+AK308-AU308,MAX(0,ROUND(ROUND(Долги!$D$19-SUM($AL308:$AU308),2)-(SUM($H308:P308)-SUM($AL308:AT308)),2)))</f>
        <v>0.0</v>
      </c>
      <c r="R308" s="31">
        <f>IF(R307+AB308-H308&lt;=0.01,0,ROUND(R307+AB308-H308,2))</f>
        <v>0.0</v>
      </c>
      <c r="S308" s="31">
        <f>IF(S307+AC308-I308&lt;=0.01,0,ROUND(S307+AC308-I308,2))</f>
        <v>0.0</v>
      </c>
      <c r="T308" s="31">
        <f>IF(T307+AD308-J308&lt;=0.01,0,ROUND(T307+AD308-J308,2))</f>
        <v>0.0</v>
      </c>
      <c r="U308" s="31">
        <f>IF(U307+AE308-K308&lt;=0.01,0,ROUND(U307+AE308-K308,2))</f>
        <v>0.0</v>
      </c>
      <c r="V308" s="31">
        <f>IF(V307+AF308-L308&lt;=0.01,0,ROUND(V307+AF308-L308,2))</f>
        <v>0.0</v>
      </c>
      <c r="W308" s="31">
        <f>IF(W307+AG308-M308&lt;=0.01,0,ROUND(W307+AG308-M308,2))</f>
        <v>0.0</v>
      </c>
      <c r="X308" s="31">
        <f>IF(X307+AH308-N308&lt;=0.01,0,ROUND(X307+AH308-N308,2))</f>
        <v>0.0</v>
      </c>
      <c r="Y308" s="31">
        <f>IF(Y307+AI308-O308&lt;=0.01,0,ROUND(Y307+AI308-O308,2))</f>
        <v>0.0</v>
      </c>
      <c r="Z308" s="31">
        <f>IF(Z307+AJ308-P308&lt;=0.01,0,ROUND(Z307+AJ308-P308,2))</f>
        <v>0.0</v>
      </c>
      <c r="AA308" s="31">
        <f>IF(AA307+AK308-Q308&lt;=0.01,0,ROUND(AA307+AK308-Q308,2))</f>
        <v>0.0</v>
      </c>
      <c r="AB308" s="31">
        <f>ROUND(R307*AB$5/1200,2)</f>
        <v>0.0</v>
      </c>
      <c r="AC308" s="31">
        <f>ROUND(S307*AC$5/1200,2)</f>
        <v>0.0</v>
      </c>
      <c r="AD308" s="31">
        <f>ROUND(T307*AD$5/1200,2)</f>
        <v>0.0</v>
      </c>
      <c r="AE308" s="31">
        <f>ROUND(U307*AE$5/1200,2)</f>
        <v>0.0</v>
      </c>
      <c r="AF308" s="31">
        <f>ROUND(V307*AF$5/1200,2)</f>
        <v>0.0</v>
      </c>
      <c r="AG308" s="31">
        <f>ROUND(W307*AG$5/1200,2)</f>
        <v>0.0</v>
      </c>
      <c r="AH308" s="31">
        <f>ROUND(X307*AH$5/1200,2)</f>
        <v>0.0</v>
      </c>
      <c r="AI308" s="31">
        <f>ROUND(Y307*AI$5/1200,2)</f>
        <v>0.0</v>
      </c>
      <c r="AJ308" s="31">
        <f>ROUND(Z307*AJ$5/1200,2)</f>
        <v>0.0</v>
      </c>
      <c r="AK308" s="31">
        <f>ROUND(AA307*AK$5/1200,2)</f>
        <v>0.0</v>
      </c>
      <c r="AL308" s="31">
        <f>MIN(AL$5,R307+AB308)</f>
        <v>0.0</v>
      </c>
      <c r="AM308" s="31">
        <f>MIN(AM$5,S307+AC308)</f>
        <v>0.0</v>
      </c>
      <c r="AN308" s="31">
        <f>MIN(AN$5,T307+AD308)</f>
        <v>0.0</v>
      </c>
      <c r="AO308" s="31">
        <f>MIN(AO$5,U307+AE308)</f>
        <v>0.0</v>
      </c>
      <c r="AP308" s="31">
        <f>MIN(AP$5,V307+AF308)</f>
        <v>0.0</v>
      </c>
      <c r="AQ308" s="31">
        <f>MIN(AQ$5,W307+AG308)</f>
        <v>0.0</v>
      </c>
      <c r="AR308" s="31">
        <f>MIN(AR$5,X307+AH308)</f>
        <v>0.0</v>
      </c>
      <c r="AS308" s="31">
        <f>MIN(AS$5,Y307+AI308)</f>
        <v>0.0</v>
      </c>
      <c r="AT308" s="31">
        <f>MIN(AT$5,Z307+AJ308)</f>
        <v>0.0</v>
      </c>
      <c r="AU308" s="31">
        <f>MIN(AU$5,AA307+AK308)</f>
        <v>0.0</v>
      </c>
    </row>
    <row r="309">
      <c r="A309" s="25" t="str">
        <f>IF(F308&gt;0.005,304,"")</f>
        <v/>
      </c>
      <c r="B309" s="33" t="str">
        <f>IF(A309="","",EDATE(Долги!$D$5,303))</f>
        <v/>
      </c>
      <c r="C309" s="31">
        <f>SUM(H309:Q309)</f>
        <v>0.0</v>
      </c>
      <c r="D309" s="31">
        <f>SUM(AB309:AK309)</f>
        <v>0.0</v>
      </c>
      <c r="E309" s="31">
        <f>C309-D309</f>
        <v>0.0</v>
      </c>
      <c r="F309" s="31">
        <f>SUM(R309:AA309)</f>
        <v>0.0</v>
      </c>
      <c r="G309" s="34" t="str">
        <f>IF(OR(A309="",$F$5&lt;=0),"",REPT("█",ROUND(20*F309/$F$5,0)))</f>
        <v/>
      </c>
      <c r="H309" s="31">
        <f>AL309+MIN(R308+AB309-AL309,MAX(0,ROUND(Долги!$D$19-SUM($AL309:$AU309),2)))</f>
        <v>0.0</v>
      </c>
      <c r="I309" s="31">
        <f>AM309+MIN(S308+AC309-AM309,MAX(0,ROUND(ROUND(Долги!$D$19-SUM($AL309:$AU309),2)-(SUM($H309:H309)-SUM($AL309:AL309)),2)))</f>
        <v>0.0</v>
      </c>
      <c r="J309" s="31">
        <f>AN309+MIN(T308+AD309-AN309,MAX(0,ROUND(ROUND(Долги!$D$19-SUM($AL309:$AU309),2)-(SUM($H309:I309)-SUM($AL309:AM309)),2)))</f>
        <v>0.0</v>
      </c>
      <c r="K309" s="31">
        <f>AO309+MIN(U308+AE309-AO309,MAX(0,ROUND(ROUND(Долги!$D$19-SUM($AL309:$AU309),2)-(SUM($H309:J309)-SUM($AL309:AN309)),2)))</f>
        <v>0.0</v>
      </c>
      <c r="L309" s="31">
        <f>AP309+MIN(V308+AF309-AP309,MAX(0,ROUND(ROUND(Долги!$D$19-SUM($AL309:$AU309),2)-(SUM($H309:K309)-SUM($AL309:AO309)),2)))</f>
        <v>0.0</v>
      </c>
      <c r="M309" s="31">
        <f>AQ309+MIN(W308+AG309-AQ309,MAX(0,ROUND(ROUND(Долги!$D$19-SUM($AL309:$AU309),2)-(SUM($H309:L309)-SUM($AL309:AP309)),2)))</f>
        <v>0.0</v>
      </c>
      <c r="N309" s="31">
        <f>AR309+MIN(X308+AH309-AR309,MAX(0,ROUND(ROUND(Долги!$D$19-SUM($AL309:$AU309),2)-(SUM($H309:M309)-SUM($AL309:AQ309)),2)))</f>
        <v>0.0</v>
      </c>
      <c r="O309" s="31">
        <f>AS309+MIN(Y308+AI309-AS309,MAX(0,ROUND(ROUND(Долги!$D$19-SUM($AL309:$AU309),2)-(SUM($H309:N309)-SUM($AL309:AR309)),2)))</f>
        <v>0.0</v>
      </c>
      <c r="P309" s="31">
        <f>AT309+MIN(Z308+AJ309-AT309,MAX(0,ROUND(ROUND(Долги!$D$19-SUM($AL309:$AU309),2)-(SUM($H309:O309)-SUM($AL309:AS309)),2)))</f>
        <v>0.0</v>
      </c>
      <c r="Q309" s="31">
        <f>AU309+MIN(AA308+AK309-AU309,MAX(0,ROUND(ROUND(Долги!$D$19-SUM($AL309:$AU309),2)-(SUM($H309:P309)-SUM($AL309:AT309)),2)))</f>
        <v>0.0</v>
      </c>
      <c r="R309" s="31">
        <f>IF(R308+AB309-H309&lt;=0.01,0,ROUND(R308+AB309-H309,2))</f>
        <v>0.0</v>
      </c>
      <c r="S309" s="31">
        <f>IF(S308+AC309-I309&lt;=0.01,0,ROUND(S308+AC309-I309,2))</f>
        <v>0.0</v>
      </c>
      <c r="T309" s="31">
        <f>IF(T308+AD309-J309&lt;=0.01,0,ROUND(T308+AD309-J309,2))</f>
        <v>0.0</v>
      </c>
      <c r="U309" s="31">
        <f>IF(U308+AE309-K309&lt;=0.01,0,ROUND(U308+AE309-K309,2))</f>
        <v>0.0</v>
      </c>
      <c r="V309" s="31">
        <f>IF(V308+AF309-L309&lt;=0.01,0,ROUND(V308+AF309-L309,2))</f>
        <v>0.0</v>
      </c>
      <c r="W309" s="31">
        <f>IF(W308+AG309-M309&lt;=0.01,0,ROUND(W308+AG309-M309,2))</f>
        <v>0.0</v>
      </c>
      <c r="X309" s="31">
        <f>IF(X308+AH309-N309&lt;=0.01,0,ROUND(X308+AH309-N309,2))</f>
        <v>0.0</v>
      </c>
      <c r="Y309" s="31">
        <f>IF(Y308+AI309-O309&lt;=0.01,0,ROUND(Y308+AI309-O309,2))</f>
        <v>0.0</v>
      </c>
      <c r="Z309" s="31">
        <f>IF(Z308+AJ309-P309&lt;=0.01,0,ROUND(Z308+AJ309-P309,2))</f>
        <v>0.0</v>
      </c>
      <c r="AA309" s="31">
        <f>IF(AA308+AK309-Q309&lt;=0.01,0,ROUND(AA308+AK309-Q309,2))</f>
        <v>0.0</v>
      </c>
      <c r="AB309" s="31">
        <f>ROUND(R308*AB$5/1200,2)</f>
        <v>0.0</v>
      </c>
      <c r="AC309" s="31">
        <f>ROUND(S308*AC$5/1200,2)</f>
        <v>0.0</v>
      </c>
      <c r="AD309" s="31">
        <f>ROUND(T308*AD$5/1200,2)</f>
        <v>0.0</v>
      </c>
      <c r="AE309" s="31">
        <f>ROUND(U308*AE$5/1200,2)</f>
        <v>0.0</v>
      </c>
      <c r="AF309" s="31">
        <f>ROUND(V308*AF$5/1200,2)</f>
        <v>0.0</v>
      </c>
      <c r="AG309" s="31">
        <f>ROUND(W308*AG$5/1200,2)</f>
        <v>0.0</v>
      </c>
      <c r="AH309" s="31">
        <f>ROUND(X308*AH$5/1200,2)</f>
        <v>0.0</v>
      </c>
      <c r="AI309" s="31">
        <f>ROUND(Y308*AI$5/1200,2)</f>
        <v>0.0</v>
      </c>
      <c r="AJ309" s="31">
        <f>ROUND(Z308*AJ$5/1200,2)</f>
        <v>0.0</v>
      </c>
      <c r="AK309" s="31">
        <f>ROUND(AA308*AK$5/1200,2)</f>
        <v>0.0</v>
      </c>
      <c r="AL309" s="31">
        <f>MIN(AL$5,R308+AB309)</f>
        <v>0.0</v>
      </c>
      <c r="AM309" s="31">
        <f>MIN(AM$5,S308+AC309)</f>
        <v>0.0</v>
      </c>
      <c r="AN309" s="31">
        <f>MIN(AN$5,T308+AD309)</f>
        <v>0.0</v>
      </c>
      <c r="AO309" s="31">
        <f>MIN(AO$5,U308+AE309)</f>
        <v>0.0</v>
      </c>
      <c r="AP309" s="31">
        <f>MIN(AP$5,V308+AF309)</f>
        <v>0.0</v>
      </c>
      <c r="AQ309" s="31">
        <f>MIN(AQ$5,W308+AG309)</f>
        <v>0.0</v>
      </c>
      <c r="AR309" s="31">
        <f>MIN(AR$5,X308+AH309)</f>
        <v>0.0</v>
      </c>
      <c r="AS309" s="31">
        <f>MIN(AS$5,Y308+AI309)</f>
        <v>0.0</v>
      </c>
      <c r="AT309" s="31">
        <f>MIN(AT$5,Z308+AJ309)</f>
        <v>0.0</v>
      </c>
      <c r="AU309" s="31">
        <f>MIN(AU$5,AA308+AK309)</f>
        <v>0.0</v>
      </c>
    </row>
    <row r="310">
      <c r="A310" s="25" t="str">
        <f>IF(F309&gt;0.005,305,"")</f>
        <v/>
      </c>
      <c r="B310" s="33" t="str">
        <f>IF(A310="","",EDATE(Долги!$D$5,304))</f>
        <v/>
      </c>
      <c r="C310" s="31">
        <f>SUM(H310:Q310)</f>
        <v>0.0</v>
      </c>
      <c r="D310" s="31">
        <f>SUM(AB310:AK310)</f>
        <v>0.0</v>
      </c>
      <c r="E310" s="31">
        <f>C310-D310</f>
        <v>0.0</v>
      </c>
      <c r="F310" s="31">
        <f>SUM(R310:AA310)</f>
        <v>0.0</v>
      </c>
      <c r="G310" s="34" t="str">
        <f>IF(OR(A310="",$F$5&lt;=0),"",REPT("█",ROUND(20*F310/$F$5,0)))</f>
        <v/>
      </c>
      <c r="H310" s="31">
        <f>AL310+MIN(R309+AB310-AL310,MAX(0,ROUND(Долги!$D$19-SUM($AL310:$AU310),2)))</f>
        <v>0.0</v>
      </c>
      <c r="I310" s="31">
        <f>AM310+MIN(S309+AC310-AM310,MAX(0,ROUND(ROUND(Долги!$D$19-SUM($AL310:$AU310),2)-(SUM($H310:H310)-SUM($AL310:AL310)),2)))</f>
        <v>0.0</v>
      </c>
      <c r="J310" s="31">
        <f>AN310+MIN(T309+AD310-AN310,MAX(0,ROUND(ROUND(Долги!$D$19-SUM($AL310:$AU310),2)-(SUM($H310:I310)-SUM($AL310:AM310)),2)))</f>
        <v>0.0</v>
      </c>
      <c r="K310" s="31">
        <f>AO310+MIN(U309+AE310-AO310,MAX(0,ROUND(ROUND(Долги!$D$19-SUM($AL310:$AU310),2)-(SUM($H310:J310)-SUM($AL310:AN310)),2)))</f>
        <v>0.0</v>
      </c>
      <c r="L310" s="31">
        <f>AP310+MIN(V309+AF310-AP310,MAX(0,ROUND(ROUND(Долги!$D$19-SUM($AL310:$AU310),2)-(SUM($H310:K310)-SUM($AL310:AO310)),2)))</f>
        <v>0.0</v>
      </c>
      <c r="M310" s="31">
        <f>AQ310+MIN(W309+AG310-AQ310,MAX(0,ROUND(ROUND(Долги!$D$19-SUM($AL310:$AU310),2)-(SUM($H310:L310)-SUM($AL310:AP310)),2)))</f>
        <v>0.0</v>
      </c>
      <c r="N310" s="31">
        <f>AR310+MIN(X309+AH310-AR310,MAX(0,ROUND(ROUND(Долги!$D$19-SUM($AL310:$AU310),2)-(SUM($H310:M310)-SUM($AL310:AQ310)),2)))</f>
        <v>0.0</v>
      </c>
      <c r="O310" s="31">
        <f>AS310+MIN(Y309+AI310-AS310,MAX(0,ROUND(ROUND(Долги!$D$19-SUM($AL310:$AU310),2)-(SUM($H310:N310)-SUM($AL310:AR310)),2)))</f>
        <v>0.0</v>
      </c>
      <c r="P310" s="31">
        <f>AT310+MIN(Z309+AJ310-AT310,MAX(0,ROUND(ROUND(Долги!$D$19-SUM($AL310:$AU310),2)-(SUM($H310:O310)-SUM($AL310:AS310)),2)))</f>
        <v>0.0</v>
      </c>
      <c r="Q310" s="31">
        <f>AU310+MIN(AA309+AK310-AU310,MAX(0,ROUND(ROUND(Долги!$D$19-SUM($AL310:$AU310),2)-(SUM($H310:P310)-SUM($AL310:AT310)),2)))</f>
        <v>0.0</v>
      </c>
      <c r="R310" s="31">
        <f>IF(R309+AB310-H310&lt;=0.01,0,ROUND(R309+AB310-H310,2))</f>
        <v>0.0</v>
      </c>
      <c r="S310" s="31">
        <f>IF(S309+AC310-I310&lt;=0.01,0,ROUND(S309+AC310-I310,2))</f>
        <v>0.0</v>
      </c>
      <c r="T310" s="31">
        <f>IF(T309+AD310-J310&lt;=0.01,0,ROUND(T309+AD310-J310,2))</f>
        <v>0.0</v>
      </c>
      <c r="U310" s="31">
        <f>IF(U309+AE310-K310&lt;=0.01,0,ROUND(U309+AE310-K310,2))</f>
        <v>0.0</v>
      </c>
      <c r="V310" s="31">
        <f>IF(V309+AF310-L310&lt;=0.01,0,ROUND(V309+AF310-L310,2))</f>
        <v>0.0</v>
      </c>
      <c r="W310" s="31">
        <f>IF(W309+AG310-M310&lt;=0.01,0,ROUND(W309+AG310-M310,2))</f>
        <v>0.0</v>
      </c>
      <c r="X310" s="31">
        <f>IF(X309+AH310-N310&lt;=0.01,0,ROUND(X309+AH310-N310,2))</f>
        <v>0.0</v>
      </c>
      <c r="Y310" s="31">
        <f>IF(Y309+AI310-O310&lt;=0.01,0,ROUND(Y309+AI310-O310,2))</f>
        <v>0.0</v>
      </c>
      <c r="Z310" s="31">
        <f>IF(Z309+AJ310-P310&lt;=0.01,0,ROUND(Z309+AJ310-P310,2))</f>
        <v>0.0</v>
      </c>
      <c r="AA310" s="31">
        <f>IF(AA309+AK310-Q310&lt;=0.01,0,ROUND(AA309+AK310-Q310,2))</f>
        <v>0.0</v>
      </c>
      <c r="AB310" s="31">
        <f>ROUND(R309*AB$5/1200,2)</f>
        <v>0.0</v>
      </c>
      <c r="AC310" s="31">
        <f>ROUND(S309*AC$5/1200,2)</f>
        <v>0.0</v>
      </c>
      <c r="AD310" s="31">
        <f>ROUND(T309*AD$5/1200,2)</f>
        <v>0.0</v>
      </c>
      <c r="AE310" s="31">
        <f>ROUND(U309*AE$5/1200,2)</f>
        <v>0.0</v>
      </c>
      <c r="AF310" s="31">
        <f>ROUND(V309*AF$5/1200,2)</f>
        <v>0.0</v>
      </c>
      <c r="AG310" s="31">
        <f>ROUND(W309*AG$5/1200,2)</f>
        <v>0.0</v>
      </c>
      <c r="AH310" s="31">
        <f>ROUND(X309*AH$5/1200,2)</f>
        <v>0.0</v>
      </c>
      <c r="AI310" s="31">
        <f>ROUND(Y309*AI$5/1200,2)</f>
        <v>0.0</v>
      </c>
      <c r="AJ310" s="31">
        <f>ROUND(Z309*AJ$5/1200,2)</f>
        <v>0.0</v>
      </c>
      <c r="AK310" s="31">
        <f>ROUND(AA309*AK$5/1200,2)</f>
        <v>0.0</v>
      </c>
      <c r="AL310" s="31">
        <f>MIN(AL$5,R309+AB310)</f>
        <v>0.0</v>
      </c>
      <c r="AM310" s="31">
        <f>MIN(AM$5,S309+AC310)</f>
        <v>0.0</v>
      </c>
      <c r="AN310" s="31">
        <f>MIN(AN$5,T309+AD310)</f>
        <v>0.0</v>
      </c>
      <c r="AO310" s="31">
        <f>MIN(AO$5,U309+AE310)</f>
        <v>0.0</v>
      </c>
      <c r="AP310" s="31">
        <f>MIN(AP$5,V309+AF310)</f>
        <v>0.0</v>
      </c>
      <c r="AQ310" s="31">
        <f>MIN(AQ$5,W309+AG310)</f>
        <v>0.0</v>
      </c>
      <c r="AR310" s="31">
        <f>MIN(AR$5,X309+AH310)</f>
        <v>0.0</v>
      </c>
      <c r="AS310" s="31">
        <f>MIN(AS$5,Y309+AI310)</f>
        <v>0.0</v>
      </c>
      <c r="AT310" s="31">
        <f>MIN(AT$5,Z309+AJ310)</f>
        <v>0.0</v>
      </c>
      <c r="AU310" s="31">
        <f>MIN(AU$5,AA309+AK310)</f>
        <v>0.0</v>
      </c>
    </row>
    <row r="311">
      <c r="A311" s="25" t="str">
        <f>IF(F310&gt;0.005,306,"")</f>
        <v/>
      </c>
      <c r="B311" s="33" t="str">
        <f>IF(A311="","",EDATE(Долги!$D$5,305))</f>
        <v/>
      </c>
      <c r="C311" s="31">
        <f>SUM(H311:Q311)</f>
        <v>0.0</v>
      </c>
      <c r="D311" s="31">
        <f>SUM(AB311:AK311)</f>
        <v>0.0</v>
      </c>
      <c r="E311" s="31">
        <f>C311-D311</f>
        <v>0.0</v>
      </c>
      <c r="F311" s="31">
        <f>SUM(R311:AA311)</f>
        <v>0.0</v>
      </c>
      <c r="G311" s="34" t="str">
        <f>IF(OR(A311="",$F$5&lt;=0),"",REPT("█",ROUND(20*F311/$F$5,0)))</f>
        <v/>
      </c>
      <c r="H311" s="31">
        <f>AL311+MIN(R310+AB311-AL311,MAX(0,ROUND(Долги!$D$19-SUM($AL311:$AU311),2)))</f>
        <v>0.0</v>
      </c>
      <c r="I311" s="31">
        <f>AM311+MIN(S310+AC311-AM311,MAX(0,ROUND(ROUND(Долги!$D$19-SUM($AL311:$AU311),2)-(SUM($H311:H311)-SUM($AL311:AL311)),2)))</f>
        <v>0.0</v>
      </c>
      <c r="J311" s="31">
        <f>AN311+MIN(T310+AD311-AN311,MAX(0,ROUND(ROUND(Долги!$D$19-SUM($AL311:$AU311),2)-(SUM($H311:I311)-SUM($AL311:AM311)),2)))</f>
        <v>0.0</v>
      </c>
      <c r="K311" s="31">
        <f>AO311+MIN(U310+AE311-AO311,MAX(0,ROUND(ROUND(Долги!$D$19-SUM($AL311:$AU311),2)-(SUM($H311:J311)-SUM($AL311:AN311)),2)))</f>
        <v>0.0</v>
      </c>
      <c r="L311" s="31">
        <f>AP311+MIN(V310+AF311-AP311,MAX(0,ROUND(ROUND(Долги!$D$19-SUM($AL311:$AU311),2)-(SUM($H311:K311)-SUM($AL311:AO311)),2)))</f>
        <v>0.0</v>
      </c>
      <c r="M311" s="31">
        <f>AQ311+MIN(W310+AG311-AQ311,MAX(0,ROUND(ROUND(Долги!$D$19-SUM($AL311:$AU311),2)-(SUM($H311:L311)-SUM($AL311:AP311)),2)))</f>
        <v>0.0</v>
      </c>
      <c r="N311" s="31">
        <f>AR311+MIN(X310+AH311-AR311,MAX(0,ROUND(ROUND(Долги!$D$19-SUM($AL311:$AU311),2)-(SUM($H311:M311)-SUM($AL311:AQ311)),2)))</f>
        <v>0.0</v>
      </c>
      <c r="O311" s="31">
        <f>AS311+MIN(Y310+AI311-AS311,MAX(0,ROUND(ROUND(Долги!$D$19-SUM($AL311:$AU311),2)-(SUM($H311:N311)-SUM($AL311:AR311)),2)))</f>
        <v>0.0</v>
      </c>
      <c r="P311" s="31">
        <f>AT311+MIN(Z310+AJ311-AT311,MAX(0,ROUND(ROUND(Долги!$D$19-SUM($AL311:$AU311),2)-(SUM($H311:O311)-SUM($AL311:AS311)),2)))</f>
        <v>0.0</v>
      </c>
      <c r="Q311" s="31">
        <f>AU311+MIN(AA310+AK311-AU311,MAX(0,ROUND(ROUND(Долги!$D$19-SUM($AL311:$AU311),2)-(SUM($H311:P311)-SUM($AL311:AT311)),2)))</f>
        <v>0.0</v>
      </c>
      <c r="R311" s="31">
        <f>IF(R310+AB311-H311&lt;=0.01,0,ROUND(R310+AB311-H311,2))</f>
        <v>0.0</v>
      </c>
      <c r="S311" s="31">
        <f>IF(S310+AC311-I311&lt;=0.01,0,ROUND(S310+AC311-I311,2))</f>
        <v>0.0</v>
      </c>
      <c r="T311" s="31">
        <f>IF(T310+AD311-J311&lt;=0.01,0,ROUND(T310+AD311-J311,2))</f>
        <v>0.0</v>
      </c>
      <c r="U311" s="31">
        <f>IF(U310+AE311-K311&lt;=0.01,0,ROUND(U310+AE311-K311,2))</f>
        <v>0.0</v>
      </c>
      <c r="V311" s="31">
        <f>IF(V310+AF311-L311&lt;=0.01,0,ROUND(V310+AF311-L311,2))</f>
        <v>0.0</v>
      </c>
      <c r="W311" s="31">
        <f>IF(W310+AG311-M311&lt;=0.01,0,ROUND(W310+AG311-M311,2))</f>
        <v>0.0</v>
      </c>
      <c r="X311" s="31">
        <f>IF(X310+AH311-N311&lt;=0.01,0,ROUND(X310+AH311-N311,2))</f>
        <v>0.0</v>
      </c>
      <c r="Y311" s="31">
        <f>IF(Y310+AI311-O311&lt;=0.01,0,ROUND(Y310+AI311-O311,2))</f>
        <v>0.0</v>
      </c>
      <c r="Z311" s="31">
        <f>IF(Z310+AJ311-P311&lt;=0.01,0,ROUND(Z310+AJ311-P311,2))</f>
        <v>0.0</v>
      </c>
      <c r="AA311" s="31">
        <f>IF(AA310+AK311-Q311&lt;=0.01,0,ROUND(AA310+AK311-Q311,2))</f>
        <v>0.0</v>
      </c>
      <c r="AB311" s="31">
        <f>ROUND(R310*AB$5/1200,2)</f>
        <v>0.0</v>
      </c>
      <c r="AC311" s="31">
        <f>ROUND(S310*AC$5/1200,2)</f>
        <v>0.0</v>
      </c>
      <c r="AD311" s="31">
        <f>ROUND(T310*AD$5/1200,2)</f>
        <v>0.0</v>
      </c>
      <c r="AE311" s="31">
        <f>ROUND(U310*AE$5/1200,2)</f>
        <v>0.0</v>
      </c>
      <c r="AF311" s="31">
        <f>ROUND(V310*AF$5/1200,2)</f>
        <v>0.0</v>
      </c>
      <c r="AG311" s="31">
        <f>ROUND(W310*AG$5/1200,2)</f>
        <v>0.0</v>
      </c>
      <c r="AH311" s="31">
        <f>ROUND(X310*AH$5/1200,2)</f>
        <v>0.0</v>
      </c>
      <c r="AI311" s="31">
        <f>ROUND(Y310*AI$5/1200,2)</f>
        <v>0.0</v>
      </c>
      <c r="AJ311" s="31">
        <f>ROUND(Z310*AJ$5/1200,2)</f>
        <v>0.0</v>
      </c>
      <c r="AK311" s="31">
        <f>ROUND(AA310*AK$5/1200,2)</f>
        <v>0.0</v>
      </c>
      <c r="AL311" s="31">
        <f>MIN(AL$5,R310+AB311)</f>
        <v>0.0</v>
      </c>
      <c r="AM311" s="31">
        <f>MIN(AM$5,S310+AC311)</f>
        <v>0.0</v>
      </c>
      <c r="AN311" s="31">
        <f>MIN(AN$5,T310+AD311)</f>
        <v>0.0</v>
      </c>
      <c r="AO311" s="31">
        <f>MIN(AO$5,U310+AE311)</f>
        <v>0.0</v>
      </c>
      <c r="AP311" s="31">
        <f>MIN(AP$5,V310+AF311)</f>
        <v>0.0</v>
      </c>
      <c r="AQ311" s="31">
        <f>MIN(AQ$5,W310+AG311)</f>
        <v>0.0</v>
      </c>
      <c r="AR311" s="31">
        <f>MIN(AR$5,X310+AH311)</f>
        <v>0.0</v>
      </c>
      <c r="AS311" s="31">
        <f>MIN(AS$5,Y310+AI311)</f>
        <v>0.0</v>
      </c>
      <c r="AT311" s="31">
        <f>MIN(AT$5,Z310+AJ311)</f>
        <v>0.0</v>
      </c>
      <c r="AU311" s="31">
        <f>MIN(AU$5,AA310+AK311)</f>
        <v>0.0</v>
      </c>
    </row>
    <row r="312">
      <c r="A312" s="25" t="str">
        <f>IF(F311&gt;0.005,307,"")</f>
        <v/>
      </c>
      <c r="B312" s="33" t="str">
        <f>IF(A312="","",EDATE(Долги!$D$5,306))</f>
        <v/>
      </c>
      <c r="C312" s="31">
        <f>SUM(H312:Q312)</f>
        <v>0.0</v>
      </c>
      <c r="D312" s="31">
        <f>SUM(AB312:AK312)</f>
        <v>0.0</v>
      </c>
      <c r="E312" s="31">
        <f>C312-D312</f>
        <v>0.0</v>
      </c>
      <c r="F312" s="31">
        <f>SUM(R312:AA312)</f>
        <v>0.0</v>
      </c>
      <c r="G312" s="34" t="str">
        <f>IF(OR(A312="",$F$5&lt;=0),"",REPT("█",ROUND(20*F312/$F$5,0)))</f>
        <v/>
      </c>
      <c r="H312" s="31">
        <f>AL312+MIN(R311+AB312-AL312,MAX(0,ROUND(Долги!$D$19-SUM($AL312:$AU312),2)))</f>
        <v>0.0</v>
      </c>
      <c r="I312" s="31">
        <f>AM312+MIN(S311+AC312-AM312,MAX(0,ROUND(ROUND(Долги!$D$19-SUM($AL312:$AU312),2)-(SUM($H312:H312)-SUM($AL312:AL312)),2)))</f>
        <v>0.0</v>
      </c>
      <c r="J312" s="31">
        <f>AN312+MIN(T311+AD312-AN312,MAX(0,ROUND(ROUND(Долги!$D$19-SUM($AL312:$AU312),2)-(SUM($H312:I312)-SUM($AL312:AM312)),2)))</f>
        <v>0.0</v>
      </c>
      <c r="K312" s="31">
        <f>AO312+MIN(U311+AE312-AO312,MAX(0,ROUND(ROUND(Долги!$D$19-SUM($AL312:$AU312),2)-(SUM($H312:J312)-SUM($AL312:AN312)),2)))</f>
        <v>0.0</v>
      </c>
      <c r="L312" s="31">
        <f>AP312+MIN(V311+AF312-AP312,MAX(0,ROUND(ROUND(Долги!$D$19-SUM($AL312:$AU312),2)-(SUM($H312:K312)-SUM($AL312:AO312)),2)))</f>
        <v>0.0</v>
      </c>
      <c r="M312" s="31">
        <f>AQ312+MIN(W311+AG312-AQ312,MAX(0,ROUND(ROUND(Долги!$D$19-SUM($AL312:$AU312),2)-(SUM($H312:L312)-SUM($AL312:AP312)),2)))</f>
        <v>0.0</v>
      </c>
      <c r="N312" s="31">
        <f>AR312+MIN(X311+AH312-AR312,MAX(0,ROUND(ROUND(Долги!$D$19-SUM($AL312:$AU312),2)-(SUM($H312:M312)-SUM($AL312:AQ312)),2)))</f>
        <v>0.0</v>
      </c>
      <c r="O312" s="31">
        <f>AS312+MIN(Y311+AI312-AS312,MAX(0,ROUND(ROUND(Долги!$D$19-SUM($AL312:$AU312),2)-(SUM($H312:N312)-SUM($AL312:AR312)),2)))</f>
        <v>0.0</v>
      </c>
      <c r="P312" s="31">
        <f>AT312+MIN(Z311+AJ312-AT312,MAX(0,ROUND(ROUND(Долги!$D$19-SUM($AL312:$AU312),2)-(SUM($H312:O312)-SUM($AL312:AS312)),2)))</f>
        <v>0.0</v>
      </c>
      <c r="Q312" s="31">
        <f>AU312+MIN(AA311+AK312-AU312,MAX(0,ROUND(ROUND(Долги!$D$19-SUM($AL312:$AU312),2)-(SUM($H312:P312)-SUM($AL312:AT312)),2)))</f>
        <v>0.0</v>
      </c>
      <c r="R312" s="31">
        <f>IF(R311+AB312-H312&lt;=0.01,0,ROUND(R311+AB312-H312,2))</f>
        <v>0.0</v>
      </c>
      <c r="S312" s="31">
        <f>IF(S311+AC312-I312&lt;=0.01,0,ROUND(S311+AC312-I312,2))</f>
        <v>0.0</v>
      </c>
      <c r="T312" s="31">
        <f>IF(T311+AD312-J312&lt;=0.01,0,ROUND(T311+AD312-J312,2))</f>
        <v>0.0</v>
      </c>
      <c r="U312" s="31">
        <f>IF(U311+AE312-K312&lt;=0.01,0,ROUND(U311+AE312-K312,2))</f>
        <v>0.0</v>
      </c>
      <c r="V312" s="31">
        <f>IF(V311+AF312-L312&lt;=0.01,0,ROUND(V311+AF312-L312,2))</f>
        <v>0.0</v>
      </c>
      <c r="W312" s="31">
        <f>IF(W311+AG312-M312&lt;=0.01,0,ROUND(W311+AG312-M312,2))</f>
        <v>0.0</v>
      </c>
      <c r="X312" s="31">
        <f>IF(X311+AH312-N312&lt;=0.01,0,ROUND(X311+AH312-N312,2))</f>
        <v>0.0</v>
      </c>
      <c r="Y312" s="31">
        <f>IF(Y311+AI312-O312&lt;=0.01,0,ROUND(Y311+AI312-O312,2))</f>
        <v>0.0</v>
      </c>
      <c r="Z312" s="31">
        <f>IF(Z311+AJ312-P312&lt;=0.01,0,ROUND(Z311+AJ312-P312,2))</f>
        <v>0.0</v>
      </c>
      <c r="AA312" s="31">
        <f>IF(AA311+AK312-Q312&lt;=0.01,0,ROUND(AA311+AK312-Q312,2))</f>
        <v>0.0</v>
      </c>
      <c r="AB312" s="31">
        <f>ROUND(R311*AB$5/1200,2)</f>
        <v>0.0</v>
      </c>
      <c r="AC312" s="31">
        <f>ROUND(S311*AC$5/1200,2)</f>
        <v>0.0</v>
      </c>
      <c r="AD312" s="31">
        <f>ROUND(T311*AD$5/1200,2)</f>
        <v>0.0</v>
      </c>
      <c r="AE312" s="31">
        <f>ROUND(U311*AE$5/1200,2)</f>
        <v>0.0</v>
      </c>
      <c r="AF312" s="31">
        <f>ROUND(V311*AF$5/1200,2)</f>
        <v>0.0</v>
      </c>
      <c r="AG312" s="31">
        <f>ROUND(W311*AG$5/1200,2)</f>
        <v>0.0</v>
      </c>
      <c r="AH312" s="31">
        <f>ROUND(X311*AH$5/1200,2)</f>
        <v>0.0</v>
      </c>
      <c r="AI312" s="31">
        <f>ROUND(Y311*AI$5/1200,2)</f>
        <v>0.0</v>
      </c>
      <c r="AJ312" s="31">
        <f>ROUND(Z311*AJ$5/1200,2)</f>
        <v>0.0</v>
      </c>
      <c r="AK312" s="31">
        <f>ROUND(AA311*AK$5/1200,2)</f>
        <v>0.0</v>
      </c>
      <c r="AL312" s="31">
        <f>MIN(AL$5,R311+AB312)</f>
        <v>0.0</v>
      </c>
      <c r="AM312" s="31">
        <f>MIN(AM$5,S311+AC312)</f>
        <v>0.0</v>
      </c>
      <c r="AN312" s="31">
        <f>MIN(AN$5,T311+AD312)</f>
        <v>0.0</v>
      </c>
      <c r="AO312" s="31">
        <f>MIN(AO$5,U311+AE312)</f>
        <v>0.0</v>
      </c>
      <c r="AP312" s="31">
        <f>MIN(AP$5,V311+AF312)</f>
        <v>0.0</v>
      </c>
      <c r="AQ312" s="31">
        <f>MIN(AQ$5,W311+AG312)</f>
        <v>0.0</v>
      </c>
      <c r="AR312" s="31">
        <f>MIN(AR$5,X311+AH312)</f>
        <v>0.0</v>
      </c>
      <c r="AS312" s="31">
        <f>MIN(AS$5,Y311+AI312)</f>
        <v>0.0</v>
      </c>
      <c r="AT312" s="31">
        <f>MIN(AT$5,Z311+AJ312)</f>
        <v>0.0</v>
      </c>
      <c r="AU312" s="31">
        <f>MIN(AU$5,AA311+AK312)</f>
        <v>0.0</v>
      </c>
    </row>
    <row r="313">
      <c r="A313" s="25" t="str">
        <f>IF(F312&gt;0.005,308,"")</f>
        <v/>
      </c>
      <c r="B313" s="33" t="str">
        <f>IF(A313="","",EDATE(Долги!$D$5,307))</f>
        <v/>
      </c>
      <c r="C313" s="31">
        <f>SUM(H313:Q313)</f>
        <v>0.0</v>
      </c>
      <c r="D313" s="31">
        <f>SUM(AB313:AK313)</f>
        <v>0.0</v>
      </c>
      <c r="E313" s="31">
        <f>C313-D313</f>
        <v>0.0</v>
      </c>
      <c r="F313" s="31">
        <f>SUM(R313:AA313)</f>
        <v>0.0</v>
      </c>
      <c r="G313" s="34" t="str">
        <f>IF(OR(A313="",$F$5&lt;=0),"",REPT("█",ROUND(20*F313/$F$5,0)))</f>
        <v/>
      </c>
      <c r="H313" s="31">
        <f>AL313+MIN(R312+AB313-AL313,MAX(0,ROUND(Долги!$D$19-SUM($AL313:$AU313),2)))</f>
        <v>0.0</v>
      </c>
      <c r="I313" s="31">
        <f>AM313+MIN(S312+AC313-AM313,MAX(0,ROUND(ROUND(Долги!$D$19-SUM($AL313:$AU313),2)-(SUM($H313:H313)-SUM($AL313:AL313)),2)))</f>
        <v>0.0</v>
      </c>
      <c r="J313" s="31">
        <f>AN313+MIN(T312+AD313-AN313,MAX(0,ROUND(ROUND(Долги!$D$19-SUM($AL313:$AU313),2)-(SUM($H313:I313)-SUM($AL313:AM313)),2)))</f>
        <v>0.0</v>
      </c>
      <c r="K313" s="31">
        <f>AO313+MIN(U312+AE313-AO313,MAX(0,ROUND(ROUND(Долги!$D$19-SUM($AL313:$AU313),2)-(SUM($H313:J313)-SUM($AL313:AN313)),2)))</f>
        <v>0.0</v>
      </c>
      <c r="L313" s="31">
        <f>AP313+MIN(V312+AF313-AP313,MAX(0,ROUND(ROUND(Долги!$D$19-SUM($AL313:$AU313),2)-(SUM($H313:K313)-SUM($AL313:AO313)),2)))</f>
        <v>0.0</v>
      </c>
      <c r="M313" s="31">
        <f>AQ313+MIN(W312+AG313-AQ313,MAX(0,ROUND(ROUND(Долги!$D$19-SUM($AL313:$AU313),2)-(SUM($H313:L313)-SUM($AL313:AP313)),2)))</f>
        <v>0.0</v>
      </c>
      <c r="N313" s="31">
        <f>AR313+MIN(X312+AH313-AR313,MAX(0,ROUND(ROUND(Долги!$D$19-SUM($AL313:$AU313),2)-(SUM($H313:M313)-SUM($AL313:AQ313)),2)))</f>
        <v>0.0</v>
      </c>
      <c r="O313" s="31">
        <f>AS313+MIN(Y312+AI313-AS313,MAX(0,ROUND(ROUND(Долги!$D$19-SUM($AL313:$AU313),2)-(SUM($H313:N313)-SUM($AL313:AR313)),2)))</f>
        <v>0.0</v>
      </c>
      <c r="P313" s="31">
        <f>AT313+MIN(Z312+AJ313-AT313,MAX(0,ROUND(ROUND(Долги!$D$19-SUM($AL313:$AU313),2)-(SUM($H313:O313)-SUM($AL313:AS313)),2)))</f>
        <v>0.0</v>
      </c>
      <c r="Q313" s="31">
        <f>AU313+MIN(AA312+AK313-AU313,MAX(0,ROUND(ROUND(Долги!$D$19-SUM($AL313:$AU313),2)-(SUM($H313:P313)-SUM($AL313:AT313)),2)))</f>
        <v>0.0</v>
      </c>
      <c r="R313" s="31">
        <f>IF(R312+AB313-H313&lt;=0.01,0,ROUND(R312+AB313-H313,2))</f>
        <v>0.0</v>
      </c>
      <c r="S313" s="31">
        <f>IF(S312+AC313-I313&lt;=0.01,0,ROUND(S312+AC313-I313,2))</f>
        <v>0.0</v>
      </c>
      <c r="T313" s="31">
        <f>IF(T312+AD313-J313&lt;=0.01,0,ROUND(T312+AD313-J313,2))</f>
        <v>0.0</v>
      </c>
      <c r="U313" s="31">
        <f>IF(U312+AE313-K313&lt;=0.01,0,ROUND(U312+AE313-K313,2))</f>
        <v>0.0</v>
      </c>
      <c r="V313" s="31">
        <f>IF(V312+AF313-L313&lt;=0.01,0,ROUND(V312+AF313-L313,2))</f>
        <v>0.0</v>
      </c>
      <c r="W313" s="31">
        <f>IF(W312+AG313-M313&lt;=0.01,0,ROUND(W312+AG313-M313,2))</f>
        <v>0.0</v>
      </c>
      <c r="X313" s="31">
        <f>IF(X312+AH313-N313&lt;=0.01,0,ROUND(X312+AH313-N313,2))</f>
        <v>0.0</v>
      </c>
      <c r="Y313" s="31">
        <f>IF(Y312+AI313-O313&lt;=0.01,0,ROUND(Y312+AI313-O313,2))</f>
        <v>0.0</v>
      </c>
      <c r="Z313" s="31">
        <f>IF(Z312+AJ313-P313&lt;=0.01,0,ROUND(Z312+AJ313-P313,2))</f>
        <v>0.0</v>
      </c>
      <c r="AA313" s="31">
        <f>IF(AA312+AK313-Q313&lt;=0.01,0,ROUND(AA312+AK313-Q313,2))</f>
        <v>0.0</v>
      </c>
      <c r="AB313" s="31">
        <f>ROUND(R312*AB$5/1200,2)</f>
        <v>0.0</v>
      </c>
      <c r="AC313" s="31">
        <f>ROUND(S312*AC$5/1200,2)</f>
        <v>0.0</v>
      </c>
      <c r="AD313" s="31">
        <f>ROUND(T312*AD$5/1200,2)</f>
        <v>0.0</v>
      </c>
      <c r="AE313" s="31">
        <f>ROUND(U312*AE$5/1200,2)</f>
        <v>0.0</v>
      </c>
      <c r="AF313" s="31">
        <f>ROUND(V312*AF$5/1200,2)</f>
        <v>0.0</v>
      </c>
      <c r="AG313" s="31">
        <f>ROUND(W312*AG$5/1200,2)</f>
        <v>0.0</v>
      </c>
      <c r="AH313" s="31">
        <f>ROUND(X312*AH$5/1200,2)</f>
        <v>0.0</v>
      </c>
      <c r="AI313" s="31">
        <f>ROUND(Y312*AI$5/1200,2)</f>
        <v>0.0</v>
      </c>
      <c r="AJ313" s="31">
        <f>ROUND(Z312*AJ$5/1200,2)</f>
        <v>0.0</v>
      </c>
      <c r="AK313" s="31">
        <f>ROUND(AA312*AK$5/1200,2)</f>
        <v>0.0</v>
      </c>
      <c r="AL313" s="31">
        <f>MIN(AL$5,R312+AB313)</f>
        <v>0.0</v>
      </c>
      <c r="AM313" s="31">
        <f>MIN(AM$5,S312+AC313)</f>
        <v>0.0</v>
      </c>
      <c r="AN313" s="31">
        <f>MIN(AN$5,T312+AD313)</f>
        <v>0.0</v>
      </c>
      <c r="AO313" s="31">
        <f>MIN(AO$5,U312+AE313)</f>
        <v>0.0</v>
      </c>
      <c r="AP313" s="31">
        <f>MIN(AP$5,V312+AF313)</f>
        <v>0.0</v>
      </c>
      <c r="AQ313" s="31">
        <f>MIN(AQ$5,W312+AG313)</f>
        <v>0.0</v>
      </c>
      <c r="AR313" s="31">
        <f>MIN(AR$5,X312+AH313)</f>
        <v>0.0</v>
      </c>
      <c r="AS313" s="31">
        <f>MIN(AS$5,Y312+AI313)</f>
        <v>0.0</v>
      </c>
      <c r="AT313" s="31">
        <f>MIN(AT$5,Z312+AJ313)</f>
        <v>0.0</v>
      </c>
      <c r="AU313" s="31">
        <f>MIN(AU$5,AA312+AK313)</f>
        <v>0.0</v>
      </c>
    </row>
    <row r="314">
      <c r="A314" s="25" t="str">
        <f>IF(F313&gt;0.005,309,"")</f>
        <v/>
      </c>
      <c r="B314" s="33" t="str">
        <f>IF(A314="","",EDATE(Долги!$D$5,308))</f>
        <v/>
      </c>
      <c r="C314" s="31">
        <f>SUM(H314:Q314)</f>
        <v>0.0</v>
      </c>
      <c r="D314" s="31">
        <f>SUM(AB314:AK314)</f>
        <v>0.0</v>
      </c>
      <c r="E314" s="31">
        <f>C314-D314</f>
        <v>0.0</v>
      </c>
      <c r="F314" s="31">
        <f>SUM(R314:AA314)</f>
        <v>0.0</v>
      </c>
      <c r="G314" s="34" t="str">
        <f>IF(OR(A314="",$F$5&lt;=0),"",REPT("█",ROUND(20*F314/$F$5,0)))</f>
        <v/>
      </c>
      <c r="H314" s="31">
        <f>AL314+MIN(R313+AB314-AL314,MAX(0,ROUND(Долги!$D$19-SUM($AL314:$AU314),2)))</f>
        <v>0.0</v>
      </c>
      <c r="I314" s="31">
        <f>AM314+MIN(S313+AC314-AM314,MAX(0,ROUND(ROUND(Долги!$D$19-SUM($AL314:$AU314),2)-(SUM($H314:H314)-SUM($AL314:AL314)),2)))</f>
        <v>0.0</v>
      </c>
      <c r="J314" s="31">
        <f>AN314+MIN(T313+AD314-AN314,MAX(0,ROUND(ROUND(Долги!$D$19-SUM($AL314:$AU314),2)-(SUM($H314:I314)-SUM($AL314:AM314)),2)))</f>
        <v>0.0</v>
      </c>
      <c r="K314" s="31">
        <f>AO314+MIN(U313+AE314-AO314,MAX(0,ROUND(ROUND(Долги!$D$19-SUM($AL314:$AU314),2)-(SUM($H314:J314)-SUM($AL314:AN314)),2)))</f>
        <v>0.0</v>
      </c>
      <c r="L314" s="31">
        <f>AP314+MIN(V313+AF314-AP314,MAX(0,ROUND(ROUND(Долги!$D$19-SUM($AL314:$AU314),2)-(SUM($H314:K314)-SUM($AL314:AO314)),2)))</f>
        <v>0.0</v>
      </c>
      <c r="M314" s="31">
        <f>AQ314+MIN(W313+AG314-AQ314,MAX(0,ROUND(ROUND(Долги!$D$19-SUM($AL314:$AU314),2)-(SUM($H314:L314)-SUM($AL314:AP314)),2)))</f>
        <v>0.0</v>
      </c>
      <c r="N314" s="31">
        <f>AR314+MIN(X313+AH314-AR314,MAX(0,ROUND(ROUND(Долги!$D$19-SUM($AL314:$AU314),2)-(SUM($H314:M314)-SUM($AL314:AQ314)),2)))</f>
        <v>0.0</v>
      </c>
      <c r="O314" s="31">
        <f>AS314+MIN(Y313+AI314-AS314,MAX(0,ROUND(ROUND(Долги!$D$19-SUM($AL314:$AU314),2)-(SUM($H314:N314)-SUM($AL314:AR314)),2)))</f>
        <v>0.0</v>
      </c>
      <c r="P314" s="31">
        <f>AT314+MIN(Z313+AJ314-AT314,MAX(0,ROUND(ROUND(Долги!$D$19-SUM($AL314:$AU314),2)-(SUM($H314:O314)-SUM($AL314:AS314)),2)))</f>
        <v>0.0</v>
      </c>
      <c r="Q314" s="31">
        <f>AU314+MIN(AA313+AK314-AU314,MAX(0,ROUND(ROUND(Долги!$D$19-SUM($AL314:$AU314),2)-(SUM($H314:P314)-SUM($AL314:AT314)),2)))</f>
        <v>0.0</v>
      </c>
      <c r="R314" s="31">
        <f>IF(R313+AB314-H314&lt;=0.01,0,ROUND(R313+AB314-H314,2))</f>
        <v>0.0</v>
      </c>
      <c r="S314" s="31">
        <f>IF(S313+AC314-I314&lt;=0.01,0,ROUND(S313+AC314-I314,2))</f>
        <v>0.0</v>
      </c>
      <c r="T314" s="31">
        <f>IF(T313+AD314-J314&lt;=0.01,0,ROUND(T313+AD314-J314,2))</f>
        <v>0.0</v>
      </c>
      <c r="U314" s="31">
        <f>IF(U313+AE314-K314&lt;=0.01,0,ROUND(U313+AE314-K314,2))</f>
        <v>0.0</v>
      </c>
      <c r="V314" s="31">
        <f>IF(V313+AF314-L314&lt;=0.01,0,ROUND(V313+AF314-L314,2))</f>
        <v>0.0</v>
      </c>
      <c r="W314" s="31">
        <f>IF(W313+AG314-M314&lt;=0.01,0,ROUND(W313+AG314-M314,2))</f>
        <v>0.0</v>
      </c>
      <c r="X314" s="31">
        <f>IF(X313+AH314-N314&lt;=0.01,0,ROUND(X313+AH314-N314,2))</f>
        <v>0.0</v>
      </c>
      <c r="Y314" s="31">
        <f>IF(Y313+AI314-O314&lt;=0.01,0,ROUND(Y313+AI314-O314,2))</f>
        <v>0.0</v>
      </c>
      <c r="Z314" s="31">
        <f>IF(Z313+AJ314-P314&lt;=0.01,0,ROUND(Z313+AJ314-P314,2))</f>
        <v>0.0</v>
      </c>
      <c r="AA314" s="31">
        <f>IF(AA313+AK314-Q314&lt;=0.01,0,ROUND(AA313+AK314-Q314,2))</f>
        <v>0.0</v>
      </c>
      <c r="AB314" s="31">
        <f>ROUND(R313*AB$5/1200,2)</f>
        <v>0.0</v>
      </c>
      <c r="AC314" s="31">
        <f>ROUND(S313*AC$5/1200,2)</f>
        <v>0.0</v>
      </c>
      <c r="AD314" s="31">
        <f>ROUND(T313*AD$5/1200,2)</f>
        <v>0.0</v>
      </c>
      <c r="AE314" s="31">
        <f>ROUND(U313*AE$5/1200,2)</f>
        <v>0.0</v>
      </c>
      <c r="AF314" s="31">
        <f>ROUND(V313*AF$5/1200,2)</f>
        <v>0.0</v>
      </c>
      <c r="AG314" s="31">
        <f>ROUND(W313*AG$5/1200,2)</f>
        <v>0.0</v>
      </c>
      <c r="AH314" s="31">
        <f>ROUND(X313*AH$5/1200,2)</f>
        <v>0.0</v>
      </c>
      <c r="AI314" s="31">
        <f>ROUND(Y313*AI$5/1200,2)</f>
        <v>0.0</v>
      </c>
      <c r="AJ314" s="31">
        <f>ROUND(Z313*AJ$5/1200,2)</f>
        <v>0.0</v>
      </c>
      <c r="AK314" s="31">
        <f>ROUND(AA313*AK$5/1200,2)</f>
        <v>0.0</v>
      </c>
      <c r="AL314" s="31">
        <f>MIN(AL$5,R313+AB314)</f>
        <v>0.0</v>
      </c>
      <c r="AM314" s="31">
        <f>MIN(AM$5,S313+AC314)</f>
        <v>0.0</v>
      </c>
      <c r="AN314" s="31">
        <f>MIN(AN$5,T313+AD314)</f>
        <v>0.0</v>
      </c>
      <c r="AO314" s="31">
        <f>MIN(AO$5,U313+AE314)</f>
        <v>0.0</v>
      </c>
      <c r="AP314" s="31">
        <f>MIN(AP$5,V313+AF314)</f>
        <v>0.0</v>
      </c>
      <c r="AQ314" s="31">
        <f>MIN(AQ$5,W313+AG314)</f>
        <v>0.0</v>
      </c>
      <c r="AR314" s="31">
        <f>MIN(AR$5,X313+AH314)</f>
        <v>0.0</v>
      </c>
      <c r="AS314" s="31">
        <f>MIN(AS$5,Y313+AI314)</f>
        <v>0.0</v>
      </c>
      <c r="AT314" s="31">
        <f>MIN(AT$5,Z313+AJ314)</f>
        <v>0.0</v>
      </c>
      <c r="AU314" s="31">
        <f>MIN(AU$5,AA313+AK314)</f>
        <v>0.0</v>
      </c>
    </row>
    <row r="315">
      <c r="A315" s="25" t="str">
        <f>IF(F314&gt;0.005,310,"")</f>
        <v/>
      </c>
      <c r="B315" s="33" t="str">
        <f>IF(A315="","",EDATE(Долги!$D$5,309))</f>
        <v/>
      </c>
      <c r="C315" s="31">
        <f>SUM(H315:Q315)</f>
        <v>0.0</v>
      </c>
      <c r="D315" s="31">
        <f>SUM(AB315:AK315)</f>
        <v>0.0</v>
      </c>
      <c r="E315" s="31">
        <f>C315-D315</f>
        <v>0.0</v>
      </c>
      <c r="F315" s="31">
        <f>SUM(R315:AA315)</f>
        <v>0.0</v>
      </c>
      <c r="G315" s="34" t="str">
        <f>IF(OR(A315="",$F$5&lt;=0),"",REPT("█",ROUND(20*F315/$F$5,0)))</f>
        <v/>
      </c>
      <c r="H315" s="31">
        <f>AL315+MIN(R314+AB315-AL315,MAX(0,ROUND(Долги!$D$19-SUM($AL315:$AU315),2)))</f>
        <v>0.0</v>
      </c>
      <c r="I315" s="31">
        <f>AM315+MIN(S314+AC315-AM315,MAX(0,ROUND(ROUND(Долги!$D$19-SUM($AL315:$AU315),2)-(SUM($H315:H315)-SUM($AL315:AL315)),2)))</f>
        <v>0.0</v>
      </c>
      <c r="J315" s="31">
        <f>AN315+MIN(T314+AD315-AN315,MAX(0,ROUND(ROUND(Долги!$D$19-SUM($AL315:$AU315),2)-(SUM($H315:I315)-SUM($AL315:AM315)),2)))</f>
        <v>0.0</v>
      </c>
      <c r="K315" s="31">
        <f>AO315+MIN(U314+AE315-AO315,MAX(0,ROUND(ROUND(Долги!$D$19-SUM($AL315:$AU315),2)-(SUM($H315:J315)-SUM($AL315:AN315)),2)))</f>
        <v>0.0</v>
      </c>
      <c r="L315" s="31">
        <f>AP315+MIN(V314+AF315-AP315,MAX(0,ROUND(ROUND(Долги!$D$19-SUM($AL315:$AU315),2)-(SUM($H315:K315)-SUM($AL315:AO315)),2)))</f>
        <v>0.0</v>
      </c>
      <c r="M315" s="31">
        <f>AQ315+MIN(W314+AG315-AQ315,MAX(0,ROUND(ROUND(Долги!$D$19-SUM($AL315:$AU315),2)-(SUM($H315:L315)-SUM($AL315:AP315)),2)))</f>
        <v>0.0</v>
      </c>
      <c r="N315" s="31">
        <f>AR315+MIN(X314+AH315-AR315,MAX(0,ROUND(ROUND(Долги!$D$19-SUM($AL315:$AU315),2)-(SUM($H315:M315)-SUM($AL315:AQ315)),2)))</f>
        <v>0.0</v>
      </c>
      <c r="O315" s="31">
        <f>AS315+MIN(Y314+AI315-AS315,MAX(0,ROUND(ROUND(Долги!$D$19-SUM($AL315:$AU315),2)-(SUM($H315:N315)-SUM($AL315:AR315)),2)))</f>
        <v>0.0</v>
      </c>
      <c r="P315" s="31">
        <f>AT315+MIN(Z314+AJ315-AT315,MAX(0,ROUND(ROUND(Долги!$D$19-SUM($AL315:$AU315),2)-(SUM($H315:O315)-SUM($AL315:AS315)),2)))</f>
        <v>0.0</v>
      </c>
      <c r="Q315" s="31">
        <f>AU315+MIN(AA314+AK315-AU315,MAX(0,ROUND(ROUND(Долги!$D$19-SUM($AL315:$AU315),2)-(SUM($H315:P315)-SUM($AL315:AT315)),2)))</f>
        <v>0.0</v>
      </c>
      <c r="R315" s="31">
        <f>IF(R314+AB315-H315&lt;=0.01,0,ROUND(R314+AB315-H315,2))</f>
        <v>0.0</v>
      </c>
      <c r="S315" s="31">
        <f>IF(S314+AC315-I315&lt;=0.01,0,ROUND(S314+AC315-I315,2))</f>
        <v>0.0</v>
      </c>
      <c r="T315" s="31">
        <f>IF(T314+AD315-J315&lt;=0.01,0,ROUND(T314+AD315-J315,2))</f>
        <v>0.0</v>
      </c>
      <c r="U315" s="31">
        <f>IF(U314+AE315-K315&lt;=0.01,0,ROUND(U314+AE315-K315,2))</f>
        <v>0.0</v>
      </c>
      <c r="V315" s="31">
        <f>IF(V314+AF315-L315&lt;=0.01,0,ROUND(V314+AF315-L315,2))</f>
        <v>0.0</v>
      </c>
      <c r="W315" s="31">
        <f>IF(W314+AG315-M315&lt;=0.01,0,ROUND(W314+AG315-M315,2))</f>
        <v>0.0</v>
      </c>
      <c r="X315" s="31">
        <f>IF(X314+AH315-N315&lt;=0.01,0,ROUND(X314+AH315-N315,2))</f>
        <v>0.0</v>
      </c>
      <c r="Y315" s="31">
        <f>IF(Y314+AI315-O315&lt;=0.01,0,ROUND(Y314+AI315-O315,2))</f>
        <v>0.0</v>
      </c>
      <c r="Z315" s="31">
        <f>IF(Z314+AJ315-P315&lt;=0.01,0,ROUND(Z314+AJ315-P315,2))</f>
        <v>0.0</v>
      </c>
      <c r="AA315" s="31">
        <f>IF(AA314+AK315-Q315&lt;=0.01,0,ROUND(AA314+AK315-Q315,2))</f>
        <v>0.0</v>
      </c>
      <c r="AB315" s="31">
        <f>ROUND(R314*AB$5/1200,2)</f>
        <v>0.0</v>
      </c>
      <c r="AC315" s="31">
        <f>ROUND(S314*AC$5/1200,2)</f>
        <v>0.0</v>
      </c>
      <c r="AD315" s="31">
        <f>ROUND(T314*AD$5/1200,2)</f>
        <v>0.0</v>
      </c>
      <c r="AE315" s="31">
        <f>ROUND(U314*AE$5/1200,2)</f>
        <v>0.0</v>
      </c>
      <c r="AF315" s="31">
        <f>ROUND(V314*AF$5/1200,2)</f>
        <v>0.0</v>
      </c>
      <c r="AG315" s="31">
        <f>ROUND(W314*AG$5/1200,2)</f>
        <v>0.0</v>
      </c>
      <c r="AH315" s="31">
        <f>ROUND(X314*AH$5/1200,2)</f>
        <v>0.0</v>
      </c>
      <c r="AI315" s="31">
        <f>ROUND(Y314*AI$5/1200,2)</f>
        <v>0.0</v>
      </c>
      <c r="AJ315" s="31">
        <f>ROUND(Z314*AJ$5/1200,2)</f>
        <v>0.0</v>
      </c>
      <c r="AK315" s="31">
        <f>ROUND(AA314*AK$5/1200,2)</f>
        <v>0.0</v>
      </c>
      <c r="AL315" s="31">
        <f>MIN(AL$5,R314+AB315)</f>
        <v>0.0</v>
      </c>
      <c r="AM315" s="31">
        <f>MIN(AM$5,S314+AC315)</f>
        <v>0.0</v>
      </c>
      <c r="AN315" s="31">
        <f>MIN(AN$5,T314+AD315)</f>
        <v>0.0</v>
      </c>
      <c r="AO315" s="31">
        <f>MIN(AO$5,U314+AE315)</f>
        <v>0.0</v>
      </c>
      <c r="AP315" s="31">
        <f>MIN(AP$5,V314+AF315)</f>
        <v>0.0</v>
      </c>
      <c r="AQ315" s="31">
        <f>MIN(AQ$5,W314+AG315)</f>
        <v>0.0</v>
      </c>
      <c r="AR315" s="31">
        <f>MIN(AR$5,X314+AH315)</f>
        <v>0.0</v>
      </c>
      <c r="AS315" s="31">
        <f>MIN(AS$5,Y314+AI315)</f>
        <v>0.0</v>
      </c>
      <c r="AT315" s="31">
        <f>MIN(AT$5,Z314+AJ315)</f>
        <v>0.0</v>
      </c>
      <c r="AU315" s="31">
        <f>MIN(AU$5,AA314+AK315)</f>
        <v>0.0</v>
      </c>
    </row>
    <row r="316">
      <c r="A316" s="25" t="str">
        <f>IF(F315&gt;0.005,311,"")</f>
        <v/>
      </c>
      <c r="B316" s="33" t="str">
        <f>IF(A316="","",EDATE(Долги!$D$5,310))</f>
        <v/>
      </c>
      <c r="C316" s="31">
        <f>SUM(H316:Q316)</f>
        <v>0.0</v>
      </c>
      <c r="D316" s="31">
        <f>SUM(AB316:AK316)</f>
        <v>0.0</v>
      </c>
      <c r="E316" s="31">
        <f>C316-D316</f>
        <v>0.0</v>
      </c>
      <c r="F316" s="31">
        <f>SUM(R316:AA316)</f>
        <v>0.0</v>
      </c>
      <c r="G316" s="34" t="str">
        <f>IF(OR(A316="",$F$5&lt;=0),"",REPT("█",ROUND(20*F316/$F$5,0)))</f>
        <v/>
      </c>
      <c r="H316" s="31">
        <f>AL316+MIN(R315+AB316-AL316,MAX(0,ROUND(Долги!$D$19-SUM($AL316:$AU316),2)))</f>
        <v>0.0</v>
      </c>
      <c r="I316" s="31">
        <f>AM316+MIN(S315+AC316-AM316,MAX(0,ROUND(ROUND(Долги!$D$19-SUM($AL316:$AU316),2)-(SUM($H316:H316)-SUM($AL316:AL316)),2)))</f>
        <v>0.0</v>
      </c>
      <c r="J316" s="31">
        <f>AN316+MIN(T315+AD316-AN316,MAX(0,ROUND(ROUND(Долги!$D$19-SUM($AL316:$AU316),2)-(SUM($H316:I316)-SUM($AL316:AM316)),2)))</f>
        <v>0.0</v>
      </c>
      <c r="K316" s="31">
        <f>AO316+MIN(U315+AE316-AO316,MAX(0,ROUND(ROUND(Долги!$D$19-SUM($AL316:$AU316),2)-(SUM($H316:J316)-SUM($AL316:AN316)),2)))</f>
        <v>0.0</v>
      </c>
      <c r="L316" s="31">
        <f>AP316+MIN(V315+AF316-AP316,MAX(0,ROUND(ROUND(Долги!$D$19-SUM($AL316:$AU316),2)-(SUM($H316:K316)-SUM($AL316:AO316)),2)))</f>
        <v>0.0</v>
      </c>
      <c r="M316" s="31">
        <f>AQ316+MIN(W315+AG316-AQ316,MAX(0,ROUND(ROUND(Долги!$D$19-SUM($AL316:$AU316),2)-(SUM($H316:L316)-SUM($AL316:AP316)),2)))</f>
        <v>0.0</v>
      </c>
      <c r="N316" s="31">
        <f>AR316+MIN(X315+AH316-AR316,MAX(0,ROUND(ROUND(Долги!$D$19-SUM($AL316:$AU316),2)-(SUM($H316:M316)-SUM($AL316:AQ316)),2)))</f>
        <v>0.0</v>
      </c>
      <c r="O316" s="31">
        <f>AS316+MIN(Y315+AI316-AS316,MAX(0,ROUND(ROUND(Долги!$D$19-SUM($AL316:$AU316),2)-(SUM($H316:N316)-SUM($AL316:AR316)),2)))</f>
        <v>0.0</v>
      </c>
      <c r="P316" s="31">
        <f>AT316+MIN(Z315+AJ316-AT316,MAX(0,ROUND(ROUND(Долги!$D$19-SUM($AL316:$AU316),2)-(SUM($H316:O316)-SUM($AL316:AS316)),2)))</f>
        <v>0.0</v>
      </c>
      <c r="Q316" s="31">
        <f>AU316+MIN(AA315+AK316-AU316,MAX(0,ROUND(ROUND(Долги!$D$19-SUM($AL316:$AU316),2)-(SUM($H316:P316)-SUM($AL316:AT316)),2)))</f>
        <v>0.0</v>
      </c>
      <c r="R316" s="31">
        <f>IF(R315+AB316-H316&lt;=0.01,0,ROUND(R315+AB316-H316,2))</f>
        <v>0.0</v>
      </c>
      <c r="S316" s="31">
        <f>IF(S315+AC316-I316&lt;=0.01,0,ROUND(S315+AC316-I316,2))</f>
        <v>0.0</v>
      </c>
      <c r="T316" s="31">
        <f>IF(T315+AD316-J316&lt;=0.01,0,ROUND(T315+AD316-J316,2))</f>
        <v>0.0</v>
      </c>
      <c r="U316" s="31">
        <f>IF(U315+AE316-K316&lt;=0.01,0,ROUND(U315+AE316-K316,2))</f>
        <v>0.0</v>
      </c>
      <c r="V316" s="31">
        <f>IF(V315+AF316-L316&lt;=0.01,0,ROUND(V315+AF316-L316,2))</f>
        <v>0.0</v>
      </c>
      <c r="W316" s="31">
        <f>IF(W315+AG316-M316&lt;=0.01,0,ROUND(W315+AG316-M316,2))</f>
        <v>0.0</v>
      </c>
      <c r="X316" s="31">
        <f>IF(X315+AH316-N316&lt;=0.01,0,ROUND(X315+AH316-N316,2))</f>
        <v>0.0</v>
      </c>
      <c r="Y316" s="31">
        <f>IF(Y315+AI316-O316&lt;=0.01,0,ROUND(Y315+AI316-O316,2))</f>
        <v>0.0</v>
      </c>
      <c r="Z316" s="31">
        <f>IF(Z315+AJ316-P316&lt;=0.01,0,ROUND(Z315+AJ316-P316,2))</f>
        <v>0.0</v>
      </c>
      <c r="AA316" s="31">
        <f>IF(AA315+AK316-Q316&lt;=0.01,0,ROUND(AA315+AK316-Q316,2))</f>
        <v>0.0</v>
      </c>
      <c r="AB316" s="31">
        <f>ROUND(R315*AB$5/1200,2)</f>
        <v>0.0</v>
      </c>
      <c r="AC316" s="31">
        <f>ROUND(S315*AC$5/1200,2)</f>
        <v>0.0</v>
      </c>
      <c r="AD316" s="31">
        <f>ROUND(T315*AD$5/1200,2)</f>
        <v>0.0</v>
      </c>
      <c r="AE316" s="31">
        <f>ROUND(U315*AE$5/1200,2)</f>
        <v>0.0</v>
      </c>
      <c r="AF316" s="31">
        <f>ROUND(V315*AF$5/1200,2)</f>
        <v>0.0</v>
      </c>
      <c r="AG316" s="31">
        <f>ROUND(W315*AG$5/1200,2)</f>
        <v>0.0</v>
      </c>
      <c r="AH316" s="31">
        <f>ROUND(X315*AH$5/1200,2)</f>
        <v>0.0</v>
      </c>
      <c r="AI316" s="31">
        <f>ROUND(Y315*AI$5/1200,2)</f>
        <v>0.0</v>
      </c>
      <c r="AJ316" s="31">
        <f>ROUND(Z315*AJ$5/1200,2)</f>
        <v>0.0</v>
      </c>
      <c r="AK316" s="31">
        <f>ROUND(AA315*AK$5/1200,2)</f>
        <v>0.0</v>
      </c>
      <c r="AL316" s="31">
        <f>MIN(AL$5,R315+AB316)</f>
        <v>0.0</v>
      </c>
      <c r="AM316" s="31">
        <f>MIN(AM$5,S315+AC316)</f>
        <v>0.0</v>
      </c>
      <c r="AN316" s="31">
        <f>MIN(AN$5,T315+AD316)</f>
        <v>0.0</v>
      </c>
      <c r="AO316" s="31">
        <f>MIN(AO$5,U315+AE316)</f>
        <v>0.0</v>
      </c>
      <c r="AP316" s="31">
        <f>MIN(AP$5,V315+AF316)</f>
        <v>0.0</v>
      </c>
      <c r="AQ316" s="31">
        <f>MIN(AQ$5,W315+AG316)</f>
        <v>0.0</v>
      </c>
      <c r="AR316" s="31">
        <f>MIN(AR$5,X315+AH316)</f>
        <v>0.0</v>
      </c>
      <c r="AS316" s="31">
        <f>MIN(AS$5,Y315+AI316)</f>
        <v>0.0</v>
      </c>
      <c r="AT316" s="31">
        <f>MIN(AT$5,Z315+AJ316)</f>
        <v>0.0</v>
      </c>
      <c r="AU316" s="31">
        <f>MIN(AU$5,AA315+AK316)</f>
        <v>0.0</v>
      </c>
    </row>
    <row r="317">
      <c r="A317" s="25" t="str">
        <f>IF(F316&gt;0.005,312,"")</f>
        <v/>
      </c>
      <c r="B317" s="33" t="str">
        <f>IF(A317="","",EDATE(Долги!$D$5,311))</f>
        <v/>
      </c>
      <c r="C317" s="31">
        <f>SUM(H317:Q317)</f>
        <v>0.0</v>
      </c>
      <c r="D317" s="31">
        <f>SUM(AB317:AK317)</f>
        <v>0.0</v>
      </c>
      <c r="E317" s="31">
        <f>C317-D317</f>
        <v>0.0</v>
      </c>
      <c r="F317" s="31">
        <f>SUM(R317:AA317)</f>
        <v>0.0</v>
      </c>
      <c r="G317" s="34" t="str">
        <f>IF(OR(A317="",$F$5&lt;=0),"",REPT("█",ROUND(20*F317/$F$5,0)))</f>
        <v/>
      </c>
      <c r="H317" s="31">
        <f>AL317+MIN(R316+AB317-AL317,MAX(0,ROUND(Долги!$D$19-SUM($AL317:$AU317),2)))</f>
        <v>0.0</v>
      </c>
      <c r="I317" s="31">
        <f>AM317+MIN(S316+AC317-AM317,MAX(0,ROUND(ROUND(Долги!$D$19-SUM($AL317:$AU317),2)-(SUM($H317:H317)-SUM($AL317:AL317)),2)))</f>
        <v>0.0</v>
      </c>
      <c r="J317" s="31">
        <f>AN317+MIN(T316+AD317-AN317,MAX(0,ROUND(ROUND(Долги!$D$19-SUM($AL317:$AU317),2)-(SUM($H317:I317)-SUM($AL317:AM317)),2)))</f>
        <v>0.0</v>
      </c>
      <c r="K317" s="31">
        <f>AO317+MIN(U316+AE317-AO317,MAX(0,ROUND(ROUND(Долги!$D$19-SUM($AL317:$AU317),2)-(SUM($H317:J317)-SUM($AL317:AN317)),2)))</f>
        <v>0.0</v>
      </c>
      <c r="L317" s="31">
        <f>AP317+MIN(V316+AF317-AP317,MAX(0,ROUND(ROUND(Долги!$D$19-SUM($AL317:$AU317),2)-(SUM($H317:K317)-SUM($AL317:AO317)),2)))</f>
        <v>0.0</v>
      </c>
      <c r="M317" s="31">
        <f>AQ317+MIN(W316+AG317-AQ317,MAX(0,ROUND(ROUND(Долги!$D$19-SUM($AL317:$AU317),2)-(SUM($H317:L317)-SUM($AL317:AP317)),2)))</f>
        <v>0.0</v>
      </c>
      <c r="N317" s="31">
        <f>AR317+MIN(X316+AH317-AR317,MAX(0,ROUND(ROUND(Долги!$D$19-SUM($AL317:$AU317),2)-(SUM($H317:M317)-SUM($AL317:AQ317)),2)))</f>
        <v>0.0</v>
      </c>
      <c r="O317" s="31">
        <f>AS317+MIN(Y316+AI317-AS317,MAX(0,ROUND(ROUND(Долги!$D$19-SUM($AL317:$AU317),2)-(SUM($H317:N317)-SUM($AL317:AR317)),2)))</f>
        <v>0.0</v>
      </c>
      <c r="P317" s="31">
        <f>AT317+MIN(Z316+AJ317-AT317,MAX(0,ROUND(ROUND(Долги!$D$19-SUM($AL317:$AU317),2)-(SUM($H317:O317)-SUM($AL317:AS317)),2)))</f>
        <v>0.0</v>
      </c>
      <c r="Q317" s="31">
        <f>AU317+MIN(AA316+AK317-AU317,MAX(0,ROUND(ROUND(Долги!$D$19-SUM($AL317:$AU317),2)-(SUM($H317:P317)-SUM($AL317:AT317)),2)))</f>
        <v>0.0</v>
      </c>
      <c r="R317" s="31">
        <f>IF(R316+AB317-H317&lt;=0.01,0,ROUND(R316+AB317-H317,2))</f>
        <v>0.0</v>
      </c>
      <c r="S317" s="31">
        <f>IF(S316+AC317-I317&lt;=0.01,0,ROUND(S316+AC317-I317,2))</f>
        <v>0.0</v>
      </c>
      <c r="T317" s="31">
        <f>IF(T316+AD317-J317&lt;=0.01,0,ROUND(T316+AD317-J317,2))</f>
        <v>0.0</v>
      </c>
      <c r="U317" s="31">
        <f>IF(U316+AE317-K317&lt;=0.01,0,ROUND(U316+AE317-K317,2))</f>
        <v>0.0</v>
      </c>
      <c r="V317" s="31">
        <f>IF(V316+AF317-L317&lt;=0.01,0,ROUND(V316+AF317-L317,2))</f>
        <v>0.0</v>
      </c>
      <c r="W317" s="31">
        <f>IF(W316+AG317-M317&lt;=0.01,0,ROUND(W316+AG317-M317,2))</f>
        <v>0.0</v>
      </c>
      <c r="X317" s="31">
        <f>IF(X316+AH317-N317&lt;=0.01,0,ROUND(X316+AH317-N317,2))</f>
        <v>0.0</v>
      </c>
      <c r="Y317" s="31">
        <f>IF(Y316+AI317-O317&lt;=0.01,0,ROUND(Y316+AI317-O317,2))</f>
        <v>0.0</v>
      </c>
      <c r="Z317" s="31">
        <f>IF(Z316+AJ317-P317&lt;=0.01,0,ROUND(Z316+AJ317-P317,2))</f>
        <v>0.0</v>
      </c>
      <c r="AA317" s="31">
        <f>IF(AA316+AK317-Q317&lt;=0.01,0,ROUND(AA316+AK317-Q317,2))</f>
        <v>0.0</v>
      </c>
      <c r="AB317" s="31">
        <f>ROUND(R316*AB$5/1200,2)</f>
        <v>0.0</v>
      </c>
      <c r="AC317" s="31">
        <f>ROUND(S316*AC$5/1200,2)</f>
        <v>0.0</v>
      </c>
      <c r="AD317" s="31">
        <f>ROUND(T316*AD$5/1200,2)</f>
        <v>0.0</v>
      </c>
      <c r="AE317" s="31">
        <f>ROUND(U316*AE$5/1200,2)</f>
        <v>0.0</v>
      </c>
      <c r="AF317" s="31">
        <f>ROUND(V316*AF$5/1200,2)</f>
        <v>0.0</v>
      </c>
      <c r="AG317" s="31">
        <f>ROUND(W316*AG$5/1200,2)</f>
        <v>0.0</v>
      </c>
      <c r="AH317" s="31">
        <f>ROUND(X316*AH$5/1200,2)</f>
        <v>0.0</v>
      </c>
      <c r="AI317" s="31">
        <f>ROUND(Y316*AI$5/1200,2)</f>
        <v>0.0</v>
      </c>
      <c r="AJ317" s="31">
        <f>ROUND(Z316*AJ$5/1200,2)</f>
        <v>0.0</v>
      </c>
      <c r="AK317" s="31">
        <f>ROUND(AA316*AK$5/1200,2)</f>
        <v>0.0</v>
      </c>
      <c r="AL317" s="31">
        <f>MIN(AL$5,R316+AB317)</f>
        <v>0.0</v>
      </c>
      <c r="AM317" s="31">
        <f>MIN(AM$5,S316+AC317)</f>
        <v>0.0</v>
      </c>
      <c r="AN317" s="31">
        <f>MIN(AN$5,T316+AD317)</f>
        <v>0.0</v>
      </c>
      <c r="AO317" s="31">
        <f>MIN(AO$5,U316+AE317)</f>
        <v>0.0</v>
      </c>
      <c r="AP317" s="31">
        <f>MIN(AP$5,V316+AF317)</f>
        <v>0.0</v>
      </c>
      <c r="AQ317" s="31">
        <f>MIN(AQ$5,W316+AG317)</f>
        <v>0.0</v>
      </c>
      <c r="AR317" s="31">
        <f>MIN(AR$5,X316+AH317)</f>
        <v>0.0</v>
      </c>
      <c r="AS317" s="31">
        <f>MIN(AS$5,Y316+AI317)</f>
        <v>0.0</v>
      </c>
      <c r="AT317" s="31">
        <f>MIN(AT$5,Z316+AJ317)</f>
        <v>0.0</v>
      </c>
      <c r="AU317" s="31">
        <f>MIN(AU$5,AA316+AK317)</f>
        <v>0.0</v>
      </c>
    </row>
    <row r="318">
      <c r="A318" s="25" t="str">
        <f>IF(F317&gt;0.005,313,"")</f>
        <v/>
      </c>
      <c r="B318" s="33" t="str">
        <f>IF(A318="","",EDATE(Долги!$D$5,312))</f>
        <v/>
      </c>
      <c r="C318" s="31">
        <f>SUM(H318:Q318)</f>
        <v>0.0</v>
      </c>
      <c r="D318" s="31">
        <f>SUM(AB318:AK318)</f>
        <v>0.0</v>
      </c>
      <c r="E318" s="31">
        <f>C318-D318</f>
        <v>0.0</v>
      </c>
      <c r="F318" s="31">
        <f>SUM(R318:AA318)</f>
        <v>0.0</v>
      </c>
      <c r="G318" s="34" t="str">
        <f>IF(OR(A318="",$F$5&lt;=0),"",REPT("█",ROUND(20*F318/$F$5,0)))</f>
        <v/>
      </c>
      <c r="H318" s="31">
        <f>AL318+MIN(R317+AB318-AL318,MAX(0,ROUND(Долги!$D$19-SUM($AL318:$AU318),2)))</f>
        <v>0.0</v>
      </c>
      <c r="I318" s="31">
        <f>AM318+MIN(S317+AC318-AM318,MAX(0,ROUND(ROUND(Долги!$D$19-SUM($AL318:$AU318),2)-(SUM($H318:H318)-SUM($AL318:AL318)),2)))</f>
        <v>0.0</v>
      </c>
      <c r="J318" s="31">
        <f>AN318+MIN(T317+AD318-AN318,MAX(0,ROUND(ROUND(Долги!$D$19-SUM($AL318:$AU318),2)-(SUM($H318:I318)-SUM($AL318:AM318)),2)))</f>
        <v>0.0</v>
      </c>
      <c r="K318" s="31">
        <f>AO318+MIN(U317+AE318-AO318,MAX(0,ROUND(ROUND(Долги!$D$19-SUM($AL318:$AU318),2)-(SUM($H318:J318)-SUM($AL318:AN318)),2)))</f>
        <v>0.0</v>
      </c>
      <c r="L318" s="31">
        <f>AP318+MIN(V317+AF318-AP318,MAX(0,ROUND(ROUND(Долги!$D$19-SUM($AL318:$AU318),2)-(SUM($H318:K318)-SUM($AL318:AO318)),2)))</f>
        <v>0.0</v>
      </c>
      <c r="M318" s="31">
        <f>AQ318+MIN(W317+AG318-AQ318,MAX(0,ROUND(ROUND(Долги!$D$19-SUM($AL318:$AU318),2)-(SUM($H318:L318)-SUM($AL318:AP318)),2)))</f>
        <v>0.0</v>
      </c>
      <c r="N318" s="31">
        <f>AR318+MIN(X317+AH318-AR318,MAX(0,ROUND(ROUND(Долги!$D$19-SUM($AL318:$AU318),2)-(SUM($H318:M318)-SUM($AL318:AQ318)),2)))</f>
        <v>0.0</v>
      </c>
      <c r="O318" s="31">
        <f>AS318+MIN(Y317+AI318-AS318,MAX(0,ROUND(ROUND(Долги!$D$19-SUM($AL318:$AU318),2)-(SUM($H318:N318)-SUM($AL318:AR318)),2)))</f>
        <v>0.0</v>
      </c>
      <c r="P318" s="31">
        <f>AT318+MIN(Z317+AJ318-AT318,MAX(0,ROUND(ROUND(Долги!$D$19-SUM($AL318:$AU318),2)-(SUM($H318:O318)-SUM($AL318:AS318)),2)))</f>
        <v>0.0</v>
      </c>
      <c r="Q318" s="31">
        <f>AU318+MIN(AA317+AK318-AU318,MAX(0,ROUND(ROUND(Долги!$D$19-SUM($AL318:$AU318),2)-(SUM($H318:P318)-SUM($AL318:AT318)),2)))</f>
        <v>0.0</v>
      </c>
      <c r="R318" s="31">
        <f>IF(R317+AB318-H318&lt;=0.01,0,ROUND(R317+AB318-H318,2))</f>
        <v>0.0</v>
      </c>
      <c r="S318" s="31">
        <f>IF(S317+AC318-I318&lt;=0.01,0,ROUND(S317+AC318-I318,2))</f>
        <v>0.0</v>
      </c>
      <c r="T318" s="31">
        <f>IF(T317+AD318-J318&lt;=0.01,0,ROUND(T317+AD318-J318,2))</f>
        <v>0.0</v>
      </c>
      <c r="U318" s="31">
        <f>IF(U317+AE318-K318&lt;=0.01,0,ROUND(U317+AE318-K318,2))</f>
        <v>0.0</v>
      </c>
      <c r="V318" s="31">
        <f>IF(V317+AF318-L318&lt;=0.01,0,ROUND(V317+AF318-L318,2))</f>
        <v>0.0</v>
      </c>
      <c r="W318" s="31">
        <f>IF(W317+AG318-M318&lt;=0.01,0,ROUND(W317+AG318-M318,2))</f>
        <v>0.0</v>
      </c>
      <c r="X318" s="31">
        <f>IF(X317+AH318-N318&lt;=0.01,0,ROUND(X317+AH318-N318,2))</f>
        <v>0.0</v>
      </c>
      <c r="Y318" s="31">
        <f>IF(Y317+AI318-O318&lt;=0.01,0,ROUND(Y317+AI318-O318,2))</f>
        <v>0.0</v>
      </c>
      <c r="Z318" s="31">
        <f>IF(Z317+AJ318-P318&lt;=0.01,0,ROUND(Z317+AJ318-P318,2))</f>
        <v>0.0</v>
      </c>
      <c r="AA318" s="31">
        <f>IF(AA317+AK318-Q318&lt;=0.01,0,ROUND(AA317+AK318-Q318,2))</f>
        <v>0.0</v>
      </c>
      <c r="AB318" s="31">
        <f>ROUND(R317*AB$5/1200,2)</f>
        <v>0.0</v>
      </c>
      <c r="AC318" s="31">
        <f>ROUND(S317*AC$5/1200,2)</f>
        <v>0.0</v>
      </c>
      <c r="AD318" s="31">
        <f>ROUND(T317*AD$5/1200,2)</f>
        <v>0.0</v>
      </c>
      <c r="AE318" s="31">
        <f>ROUND(U317*AE$5/1200,2)</f>
        <v>0.0</v>
      </c>
      <c r="AF318" s="31">
        <f>ROUND(V317*AF$5/1200,2)</f>
        <v>0.0</v>
      </c>
      <c r="AG318" s="31">
        <f>ROUND(W317*AG$5/1200,2)</f>
        <v>0.0</v>
      </c>
      <c r="AH318" s="31">
        <f>ROUND(X317*AH$5/1200,2)</f>
        <v>0.0</v>
      </c>
      <c r="AI318" s="31">
        <f>ROUND(Y317*AI$5/1200,2)</f>
        <v>0.0</v>
      </c>
      <c r="AJ318" s="31">
        <f>ROUND(Z317*AJ$5/1200,2)</f>
        <v>0.0</v>
      </c>
      <c r="AK318" s="31">
        <f>ROUND(AA317*AK$5/1200,2)</f>
        <v>0.0</v>
      </c>
      <c r="AL318" s="31">
        <f>MIN(AL$5,R317+AB318)</f>
        <v>0.0</v>
      </c>
      <c r="AM318" s="31">
        <f>MIN(AM$5,S317+AC318)</f>
        <v>0.0</v>
      </c>
      <c r="AN318" s="31">
        <f>MIN(AN$5,T317+AD318)</f>
        <v>0.0</v>
      </c>
      <c r="AO318" s="31">
        <f>MIN(AO$5,U317+AE318)</f>
        <v>0.0</v>
      </c>
      <c r="AP318" s="31">
        <f>MIN(AP$5,V317+AF318)</f>
        <v>0.0</v>
      </c>
      <c r="AQ318" s="31">
        <f>MIN(AQ$5,W317+AG318)</f>
        <v>0.0</v>
      </c>
      <c r="AR318" s="31">
        <f>MIN(AR$5,X317+AH318)</f>
        <v>0.0</v>
      </c>
      <c r="AS318" s="31">
        <f>MIN(AS$5,Y317+AI318)</f>
        <v>0.0</v>
      </c>
      <c r="AT318" s="31">
        <f>MIN(AT$5,Z317+AJ318)</f>
        <v>0.0</v>
      </c>
      <c r="AU318" s="31">
        <f>MIN(AU$5,AA317+AK318)</f>
        <v>0.0</v>
      </c>
    </row>
    <row r="319">
      <c r="A319" s="25" t="str">
        <f>IF(F318&gt;0.005,314,"")</f>
        <v/>
      </c>
      <c r="B319" s="33" t="str">
        <f>IF(A319="","",EDATE(Долги!$D$5,313))</f>
        <v/>
      </c>
      <c r="C319" s="31">
        <f>SUM(H319:Q319)</f>
        <v>0.0</v>
      </c>
      <c r="D319" s="31">
        <f>SUM(AB319:AK319)</f>
        <v>0.0</v>
      </c>
      <c r="E319" s="31">
        <f>C319-D319</f>
        <v>0.0</v>
      </c>
      <c r="F319" s="31">
        <f>SUM(R319:AA319)</f>
        <v>0.0</v>
      </c>
      <c r="G319" s="34" t="str">
        <f>IF(OR(A319="",$F$5&lt;=0),"",REPT("█",ROUND(20*F319/$F$5,0)))</f>
        <v/>
      </c>
      <c r="H319" s="31">
        <f>AL319+MIN(R318+AB319-AL319,MAX(0,ROUND(Долги!$D$19-SUM($AL319:$AU319),2)))</f>
        <v>0.0</v>
      </c>
      <c r="I319" s="31">
        <f>AM319+MIN(S318+AC319-AM319,MAX(0,ROUND(ROUND(Долги!$D$19-SUM($AL319:$AU319),2)-(SUM($H319:H319)-SUM($AL319:AL319)),2)))</f>
        <v>0.0</v>
      </c>
      <c r="J319" s="31">
        <f>AN319+MIN(T318+AD319-AN319,MAX(0,ROUND(ROUND(Долги!$D$19-SUM($AL319:$AU319),2)-(SUM($H319:I319)-SUM($AL319:AM319)),2)))</f>
        <v>0.0</v>
      </c>
      <c r="K319" s="31">
        <f>AO319+MIN(U318+AE319-AO319,MAX(0,ROUND(ROUND(Долги!$D$19-SUM($AL319:$AU319),2)-(SUM($H319:J319)-SUM($AL319:AN319)),2)))</f>
        <v>0.0</v>
      </c>
      <c r="L319" s="31">
        <f>AP319+MIN(V318+AF319-AP319,MAX(0,ROUND(ROUND(Долги!$D$19-SUM($AL319:$AU319),2)-(SUM($H319:K319)-SUM($AL319:AO319)),2)))</f>
        <v>0.0</v>
      </c>
      <c r="M319" s="31">
        <f>AQ319+MIN(W318+AG319-AQ319,MAX(0,ROUND(ROUND(Долги!$D$19-SUM($AL319:$AU319),2)-(SUM($H319:L319)-SUM($AL319:AP319)),2)))</f>
        <v>0.0</v>
      </c>
      <c r="N319" s="31">
        <f>AR319+MIN(X318+AH319-AR319,MAX(0,ROUND(ROUND(Долги!$D$19-SUM($AL319:$AU319),2)-(SUM($H319:M319)-SUM($AL319:AQ319)),2)))</f>
        <v>0.0</v>
      </c>
      <c r="O319" s="31">
        <f>AS319+MIN(Y318+AI319-AS319,MAX(0,ROUND(ROUND(Долги!$D$19-SUM($AL319:$AU319),2)-(SUM($H319:N319)-SUM($AL319:AR319)),2)))</f>
        <v>0.0</v>
      </c>
      <c r="P319" s="31">
        <f>AT319+MIN(Z318+AJ319-AT319,MAX(0,ROUND(ROUND(Долги!$D$19-SUM($AL319:$AU319),2)-(SUM($H319:O319)-SUM($AL319:AS319)),2)))</f>
        <v>0.0</v>
      </c>
      <c r="Q319" s="31">
        <f>AU319+MIN(AA318+AK319-AU319,MAX(0,ROUND(ROUND(Долги!$D$19-SUM($AL319:$AU319),2)-(SUM($H319:P319)-SUM($AL319:AT319)),2)))</f>
        <v>0.0</v>
      </c>
      <c r="R319" s="31">
        <f>IF(R318+AB319-H319&lt;=0.01,0,ROUND(R318+AB319-H319,2))</f>
        <v>0.0</v>
      </c>
      <c r="S319" s="31">
        <f>IF(S318+AC319-I319&lt;=0.01,0,ROUND(S318+AC319-I319,2))</f>
        <v>0.0</v>
      </c>
      <c r="T319" s="31">
        <f>IF(T318+AD319-J319&lt;=0.01,0,ROUND(T318+AD319-J319,2))</f>
        <v>0.0</v>
      </c>
      <c r="U319" s="31">
        <f>IF(U318+AE319-K319&lt;=0.01,0,ROUND(U318+AE319-K319,2))</f>
        <v>0.0</v>
      </c>
      <c r="V319" s="31">
        <f>IF(V318+AF319-L319&lt;=0.01,0,ROUND(V318+AF319-L319,2))</f>
        <v>0.0</v>
      </c>
      <c r="W319" s="31">
        <f>IF(W318+AG319-M319&lt;=0.01,0,ROUND(W318+AG319-M319,2))</f>
        <v>0.0</v>
      </c>
      <c r="X319" s="31">
        <f>IF(X318+AH319-N319&lt;=0.01,0,ROUND(X318+AH319-N319,2))</f>
        <v>0.0</v>
      </c>
      <c r="Y319" s="31">
        <f>IF(Y318+AI319-O319&lt;=0.01,0,ROUND(Y318+AI319-O319,2))</f>
        <v>0.0</v>
      </c>
      <c r="Z319" s="31">
        <f>IF(Z318+AJ319-P319&lt;=0.01,0,ROUND(Z318+AJ319-P319,2))</f>
        <v>0.0</v>
      </c>
      <c r="AA319" s="31">
        <f>IF(AA318+AK319-Q319&lt;=0.01,0,ROUND(AA318+AK319-Q319,2))</f>
        <v>0.0</v>
      </c>
      <c r="AB319" s="31">
        <f>ROUND(R318*AB$5/1200,2)</f>
        <v>0.0</v>
      </c>
      <c r="AC319" s="31">
        <f>ROUND(S318*AC$5/1200,2)</f>
        <v>0.0</v>
      </c>
      <c r="AD319" s="31">
        <f>ROUND(T318*AD$5/1200,2)</f>
        <v>0.0</v>
      </c>
      <c r="AE319" s="31">
        <f>ROUND(U318*AE$5/1200,2)</f>
        <v>0.0</v>
      </c>
      <c r="AF319" s="31">
        <f>ROUND(V318*AF$5/1200,2)</f>
        <v>0.0</v>
      </c>
      <c r="AG319" s="31">
        <f>ROUND(W318*AG$5/1200,2)</f>
        <v>0.0</v>
      </c>
      <c r="AH319" s="31">
        <f>ROUND(X318*AH$5/1200,2)</f>
        <v>0.0</v>
      </c>
      <c r="AI319" s="31">
        <f>ROUND(Y318*AI$5/1200,2)</f>
        <v>0.0</v>
      </c>
      <c r="AJ319" s="31">
        <f>ROUND(Z318*AJ$5/1200,2)</f>
        <v>0.0</v>
      </c>
      <c r="AK319" s="31">
        <f>ROUND(AA318*AK$5/1200,2)</f>
        <v>0.0</v>
      </c>
      <c r="AL319" s="31">
        <f>MIN(AL$5,R318+AB319)</f>
        <v>0.0</v>
      </c>
      <c r="AM319" s="31">
        <f>MIN(AM$5,S318+AC319)</f>
        <v>0.0</v>
      </c>
      <c r="AN319" s="31">
        <f>MIN(AN$5,T318+AD319)</f>
        <v>0.0</v>
      </c>
      <c r="AO319" s="31">
        <f>MIN(AO$5,U318+AE319)</f>
        <v>0.0</v>
      </c>
      <c r="AP319" s="31">
        <f>MIN(AP$5,V318+AF319)</f>
        <v>0.0</v>
      </c>
      <c r="AQ319" s="31">
        <f>MIN(AQ$5,W318+AG319)</f>
        <v>0.0</v>
      </c>
      <c r="AR319" s="31">
        <f>MIN(AR$5,X318+AH319)</f>
        <v>0.0</v>
      </c>
      <c r="AS319" s="31">
        <f>MIN(AS$5,Y318+AI319)</f>
        <v>0.0</v>
      </c>
      <c r="AT319" s="31">
        <f>MIN(AT$5,Z318+AJ319)</f>
        <v>0.0</v>
      </c>
      <c r="AU319" s="31">
        <f>MIN(AU$5,AA318+AK319)</f>
        <v>0.0</v>
      </c>
    </row>
    <row r="320">
      <c r="A320" s="25" t="str">
        <f>IF(F319&gt;0.005,315,"")</f>
        <v/>
      </c>
      <c r="B320" s="33" t="str">
        <f>IF(A320="","",EDATE(Долги!$D$5,314))</f>
        <v/>
      </c>
      <c r="C320" s="31">
        <f>SUM(H320:Q320)</f>
        <v>0.0</v>
      </c>
      <c r="D320" s="31">
        <f>SUM(AB320:AK320)</f>
        <v>0.0</v>
      </c>
      <c r="E320" s="31">
        <f>C320-D320</f>
        <v>0.0</v>
      </c>
      <c r="F320" s="31">
        <f>SUM(R320:AA320)</f>
        <v>0.0</v>
      </c>
      <c r="G320" s="34" t="str">
        <f>IF(OR(A320="",$F$5&lt;=0),"",REPT("█",ROUND(20*F320/$F$5,0)))</f>
        <v/>
      </c>
      <c r="H320" s="31">
        <f>AL320+MIN(R319+AB320-AL320,MAX(0,ROUND(Долги!$D$19-SUM($AL320:$AU320),2)))</f>
        <v>0.0</v>
      </c>
      <c r="I320" s="31">
        <f>AM320+MIN(S319+AC320-AM320,MAX(0,ROUND(ROUND(Долги!$D$19-SUM($AL320:$AU320),2)-(SUM($H320:H320)-SUM($AL320:AL320)),2)))</f>
        <v>0.0</v>
      </c>
      <c r="J320" s="31">
        <f>AN320+MIN(T319+AD320-AN320,MAX(0,ROUND(ROUND(Долги!$D$19-SUM($AL320:$AU320),2)-(SUM($H320:I320)-SUM($AL320:AM320)),2)))</f>
        <v>0.0</v>
      </c>
      <c r="K320" s="31">
        <f>AO320+MIN(U319+AE320-AO320,MAX(0,ROUND(ROUND(Долги!$D$19-SUM($AL320:$AU320),2)-(SUM($H320:J320)-SUM($AL320:AN320)),2)))</f>
        <v>0.0</v>
      </c>
      <c r="L320" s="31">
        <f>AP320+MIN(V319+AF320-AP320,MAX(0,ROUND(ROUND(Долги!$D$19-SUM($AL320:$AU320),2)-(SUM($H320:K320)-SUM($AL320:AO320)),2)))</f>
        <v>0.0</v>
      </c>
      <c r="M320" s="31">
        <f>AQ320+MIN(W319+AG320-AQ320,MAX(0,ROUND(ROUND(Долги!$D$19-SUM($AL320:$AU320),2)-(SUM($H320:L320)-SUM($AL320:AP320)),2)))</f>
        <v>0.0</v>
      </c>
      <c r="N320" s="31">
        <f>AR320+MIN(X319+AH320-AR320,MAX(0,ROUND(ROUND(Долги!$D$19-SUM($AL320:$AU320),2)-(SUM($H320:M320)-SUM($AL320:AQ320)),2)))</f>
        <v>0.0</v>
      </c>
      <c r="O320" s="31">
        <f>AS320+MIN(Y319+AI320-AS320,MAX(0,ROUND(ROUND(Долги!$D$19-SUM($AL320:$AU320),2)-(SUM($H320:N320)-SUM($AL320:AR320)),2)))</f>
        <v>0.0</v>
      </c>
      <c r="P320" s="31">
        <f>AT320+MIN(Z319+AJ320-AT320,MAX(0,ROUND(ROUND(Долги!$D$19-SUM($AL320:$AU320),2)-(SUM($H320:O320)-SUM($AL320:AS320)),2)))</f>
        <v>0.0</v>
      </c>
      <c r="Q320" s="31">
        <f>AU320+MIN(AA319+AK320-AU320,MAX(0,ROUND(ROUND(Долги!$D$19-SUM($AL320:$AU320),2)-(SUM($H320:P320)-SUM($AL320:AT320)),2)))</f>
        <v>0.0</v>
      </c>
      <c r="R320" s="31">
        <f>IF(R319+AB320-H320&lt;=0.01,0,ROUND(R319+AB320-H320,2))</f>
        <v>0.0</v>
      </c>
      <c r="S320" s="31">
        <f>IF(S319+AC320-I320&lt;=0.01,0,ROUND(S319+AC320-I320,2))</f>
        <v>0.0</v>
      </c>
      <c r="T320" s="31">
        <f>IF(T319+AD320-J320&lt;=0.01,0,ROUND(T319+AD320-J320,2))</f>
        <v>0.0</v>
      </c>
      <c r="U320" s="31">
        <f>IF(U319+AE320-K320&lt;=0.01,0,ROUND(U319+AE320-K320,2))</f>
        <v>0.0</v>
      </c>
      <c r="V320" s="31">
        <f>IF(V319+AF320-L320&lt;=0.01,0,ROUND(V319+AF320-L320,2))</f>
        <v>0.0</v>
      </c>
      <c r="W320" s="31">
        <f>IF(W319+AG320-M320&lt;=0.01,0,ROUND(W319+AG320-M320,2))</f>
        <v>0.0</v>
      </c>
      <c r="X320" s="31">
        <f>IF(X319+AH320-N320&lt;=0.01,0,ROUND(X319+AH320-N320,2))</f>
        <v>0.0</v>
      </c>
      <c r="Y320" s="31">
        <f>IF(Y319+AI320-O320&lt;=0.01,0,ROUND(Y319+AI320-O320,2))</f>
        <v>0.0</v>
      </c>
      <c r="Z320" s="31">
        <f>IF(Z319+AJ320-P320&lt;=0.01,0,ROUND(Z319+AJ320-P320,2))</f>
        <v>0.0</v>
      </c>
      <c r="AA320" s="31">
        <f>IF(AA319+AK320-Q320&lt;=0.01,0,ROUND(AA319+AK320-Q320,2))</f>
        <v>0.0</v>
      </c>
      <c r="AB320" s="31">
        <f>ROUND(R319*AB$5/1200,2)</f>
        <v>0.0</v>
      </c>
      <c r="AC320" s="31">
        <f>ROUND(S319*AC$5/1200,2)</f>
        <v>0.0</v>
      </c>
      <c r="AD320" s="31">
        <f>ROUND(T319*AD$5/1200,2)</f>
        <v>0.0</v>
      </c>
      <c r="AE320" s="31">
        <f>ROUND(U319*AE$5/1200,2)</f>
        <v>0.0</v>
      </c>
      <c r="AF320" s="31">
        <f>ROUND(V319*AF$5/1200,2)</f>
        <v>0.0</v>
      </c>
      <c r="AG320" s="31">
        <f>ROUND(W319*AG$5/1200,2)</f>
        <v>0.0</v>
      </c>
      <c r="AH320" s="31">
        <f>ROUND(X319*AH$5/1200,2)</f>
        <v>0.0</v>
      </c>
      <c r="AI320" s="31">
        <f>ROUND(Y319*AI$5/1200,2)</f>
        <v>0.0</v>
      </c>
      <c r="AJ320" s="31">
        <f>ROUND(Z319*AJ$5/1200,2)</f>
        <v>0.0</v>
      </c>
      <c r="AK320" s="31">
        <f>ROUND(AA319*AK$5/1200,2)</f>
        <v>0.0</v>
      </c>
      <c r="AL320" s="31">
        <f>MIN(AL$5,R319+AB320)</f>
        <v>0.0</v>
      </c>
      <c r="AM320" s="31">
        <f>MIN(AM$5,S319+AC320)</f>
        <v>0.0</v>
      </c>
      <c r="AN320" s="31">
        <f>MIN(AN$5,T319+AD320)</f>
        <v>0.0</v>
      </c>
      <c r="AO320" s="31">
        <f>MIN(AO$5,U319+AE320)</f>
        <v>0.0</v>
      </c>
      <c r="AP320" s="31">
        <f>MIN(AP$5,V319+AF320)</f>
        <v>0.0</v>
      </c>
      <c r="AQ320" s="31">
        <f>MIN(AQ$5,W319+AG320)</f>
        <v>0.0</v>
      </c>
      <c r="AR320" s="31">
        <f>MIN(AR$5,X319+AH320)</f>
        <v>0.0</v>
      </c>
      <c r="AS320" s="31">
        <f>MIN(AS$5,Y319+AI320)</f>
        <v>0.0</v>
      </c>
      <c r="AT320" s="31">
        <f>MIN(AT$5,Z319+AJ320)</f>
        <v>0.0</v>
      </c>
      <c r="AU320" s="31">
        <f>MIN(AU$5,AA319+AK320)</f>
        <v>0.0</v>
      </c>
    </row>
    <row r="321">
      <c r="A321" s="25" t="str">
        <f>IF(F320&gt;0.005,316,"")</f>
        <v/>
      </c>
      <c r="B321" s="33" t="str">
        <f>IF(A321="","",EDATE(Долги!$D$5,315))</f>
        <v/>
      </c>
      <c r="C321" s="31">
        <f>SUM(H321:Q321)</f>
        <v>0.0</v>
      </c>
      <c r="D321" s="31">
        <f>SUM(AB321:AK321)</f>
        <v>0.0</v>
      </c>
      <c r="E321" s="31">
        <f>C321-D321</f>
        <v>0.0</v>
      </c>
      <c r="F321" s="31">
        <f>SUM(R321:AA321)</f>
        <v>0.0</v>
      </c>
      <c r="G321" s="34" t="str">
        <f>IF(OR(A321="",$F$5&lt;=0),"",REPT("█",ROUND(20*F321/$F$5,0)))</f>
        <v/>
      </c>
      <c r="H321" s="31">
        <f>AL321+MIN(R320+AB321-AL321,MAX(0,ROUND(Долги!$D$19-SUM($AL321:$AU321),2)))</f>
        <v>0.0</v>
      </c>
      <c r="I321" s="31">
        <f>AM321+MIN(S320+AC321-AM321,MAX(0,ROUND(ROUND(Долги!$D$19-SUM($AL321:$AU321),2)-(SUM($H321:H321)-SUM($AL321:AL321)),2)))</f>
        <v>0.0</v>
      </c>
      <c r="J321" s="31">
        <f>AN321+MIN(T320+AD321-AN321,MAX(0,ROUND(ROUND(Долги!$D$19-SUM($AL321:$AU321),2)-(SUM($H321:I321)-SUM($AL321:AM321)),2)))</f>
        <v>0.0</v>
      </c>
      <c r="K321" s="31">
        <f>AO321+MIN(U320+AE321-AO321,MAX(0,ROUND(ROUND(Долги!$D$19-SUM($AL321:$AU321),2)-(SUM($H321:J321)-SUM($AL321:AN321)),2)))</f>
        <v>0.0</v>
      </c>
      <c r="L321" s="31">
        <f>AP321+MIN(V320+AF321-AP321,MAX(0,ROUND(ROUND(Долги!$D$19-SUM($AL321:$AU321),2)-(SUM($H321:K321)-SUM($AL321:AO321)),2)))</f>
        <v>0.0</v>
      </c>
      <c r="M321" s="31">
        <f>AQ321+MIN(W320+AG321-AQ321,MAX(0,ROUND(ROUND(Долги!$D$19-SUM($AL321:$AU321),2)-(SUM($H321:L321)-SUM($AL321:AP321)),2)))</f>
        <v>0.0</v>
      </c>
      <c r="N321" s="31">
        <f>AR321+MIN(X320+AH321-AR321,MAX(0,ROUND(ROUND(Долги!$D$19-SUM($AL321:$AU321),2)-(SUM($H321:M321)-SUM($AL321:AQ321)),2)))</f>
        <v>0.0</v>
      </c>
      <c r="O321" s="31">
        <f>AS321+MIN(Y320+AI321-AS321,MAX(0,ROUND(ROUND(Долги!$D$19-SUM($AL321:$AU321),2)-(SUM($H321:N321)-SUM($AL321:AR321)),2)))</f>
        <v>0.0</v>
      </c>
      <c r="P321" s="31">
        <f>AT321+MIN(Z320+AJ321-AT321,MAX(0,ROUND(ROUND(Долги!$D$19-SUM($AL321:$AU321),2)-(SUM($H321:O321)-SUM($AL321:AS321)),2)))</f>
        <v>0.0</v>
      </c>
      <c r="Q321" s="31">
        <f>AU321+MIN(AA320+AK321-AU321,MAX(0,ROUND(ROUND(Долги!$D$19-SUM($AL321:$AU321),2)-(SUM($H321:P321)-SUM($AL321:AT321)),2)))</f>
        <v>0.0</v>
      </c>
      <c r="R321" s="31">
        <f>IF(R320+AB321-H321&lt;=0.01,0,ROUND(R320+AB321-H321,2))</f>
        <v>0.0</v>
      </c>
      <c r="S321" s="31">
        <f>IF(S320+AC321-I321&lt;=0.01,0,ROUND(S320+AC321-I321,2))</f>
        <v>0.0</v>
      </c>
      <c r="T321" s="31">
        <f>IF(T320+AD321-J321&lt;=0.01,0,ROUND(T320+AD321-J321,2))</f>
        <v>0.0</v>
      </c>
      <c r="U321" s="31">
        <f>IF(U320+AE321-K321&lt;=0.01,0,ROUND(U320+AE321-K321,2))</f>
        <v>0.0</v>
      </c>
      <c r="V321" s="31">
        <f>IF(V320+AF321-L321&lt;=0.01,0,ROUND(V320+AF321-L321,2))</f>
        <v>0.0</v>
      </c>
      <c r="W321" s="31">
        <f>IF(W320+AG321-M321&lt;=0.01,0,ROUND(W320+AG321-M321,2))</f>
        <v>0.0</v>
      </c>
      <c r="X321" s="31">
        <f>IF(X320+AH321-N321&lt;=0.01,0,ROUND(X320+AH321-N321,2))</f>
        <v>0.0</v>
      </c>
      <c r="Y321" s="31">
        <f>IF(Y320+AI321-O321&lt;=0.01,0,ROUND(Y320+AI321-O321,2))</f>
        <v>0.0</v>
      </c>
      <c r="Z321" s="31">
        <f>IF(Z320+AJ321-P321&lt;=0.01,0,ROUND(Z320+AJ321-P321,2))</f>
        <v>0.0</v>
      </c>
      <c r="AA321" s="31">
        <f>IF(AA320+AK321-Q321&lt;=0.01,0,ROUND(AA320+AK321-Q321,2))</f>
        <v>0.0</v>
      </c>
      <c r="AB321" s="31">
        <f>ROUND(R320*AB$5/1200,2)</f>
        <v>0.0</v>
      </c>
      <c r="AC321" s="31">
        <f>ROUND(S320*AC$5/1200,2)</f>
        <v>0.0</v>
      </c>
      <c r="AD321" s="31">
        <f>ROUND(T320*AD$5/1200,2)</f>
        <v>0.0</v>
      </c>
      <c r="AE321" s="31">
        <f>ROUND(U320*AE$5/1200,2)</f>
        <v>0.0</v>
      </c>
      <c r="AF321" s="31">
        <f>ROUND(V320*AF$5/1200,2)</f>
        <v>0.0</v>
      </c>
      <c r="AG321" s="31">
        <f>ROUND(W320*AG$5/1200,2)</f>
        <v>0.0</v>
      </c>
      <c r="AH321" s="31">
        <f>ROUND(X320*AH$5/1200,2)</f>
        <v>0.0</v>
      </c>
      <c r="AI321" s="31">
        <f>ROUND(Y320*AI$5/1200,2)</f>
        <v>0.0</v>
      </c>
      <c r="AJ321" s="31">
        <f>ROUND(Z320*AJ$5/1200,2)</f>
        <v>0.0</v>
      </c>
      <c r="AK321" s="31">
        <f>ROUND(AA320*AK$5/1200,2)</f>
        <v>0.0</v>
      </c>
      <c r="AL321" s="31">
        <f>MIN(AL$5,R320+AB321)</f>
        <v>0.0</v>
      </c>
      <c r="AM321" s="31">
        <f>MIN(AM$5,S320+AC321)</f>
        <v>0.0</v>
      </c>
      <c r="AN321" s="31">
        <f>MIN(AN$5,T320+AD321)</f>
        <v>0.0</v>
      </c>
      <c r="AO321" s="31">
        <f>MIN(AO$5,U320+AE321)</f>
        <v>0.0</v>
      </c>
      <c r="AP321" s="31">
        <f>MIN(AP$5,V320+AF321)</f>
        <v>0.0</v>
      </c>
      <c r="AQ321" s="31">
        <f>MIN(AQ$5,W320+AG321)</f>
        <v>0.0</v>
      </c>
      <c r="AR321" s="31">
        <f>MIN(AR$5,X320+AH321)</f>
        <v>0.0</v>
      </c>
      <c r="AS321" s="31">
        <f>MIN(AS$5,Y320+AI321)</f>
        <v>0.0</v>
      </c>
      <c r="AT321" s="31">
        <f>MIN(AT$5,Z320+AJ321)</f>
        <v>0.0</v>
      </c>
      <c r="AU321" s="31">
        <f>MIN(AU$5,AA320+AK321)</f>
        <v>0.0</v>
      </c>
    </row>
    <row r="322">
      <c r="A322" s="25" t="str">
        <f>IF(F321&gt;0.005,317,"")</f>
        <v/>
      </c>
      <c r="B322" s="33" t="str">
        <f>IF(A322="","",EDATE(Долги!$D$5,316))</f>
        <v/>
      </c>
      <c r="C322" s="31">
        <f>SUM(H322:Q322)</f>
        <v>0.0</v>
      </c>
      <c r="D322" s="31">
        <f>SUM(AB322:AK322)</f>
        <v>0.0</v>
      </c>
      <c r="E322" s="31">
        <f>C322-D322</f>
        <v>0.0</v>
      </c>
      <c r="F322" s="31">
        <f>SUM(R322:AA322)</f>
        <v>0.0</v>
      </c>
      <c r="G322" s="34" t="str">
        <f>IF(OR(A322="",$F$5&lt;=0),"",REPT("█",ROUND(20*F322/$F$5,0)))</f>
        <v/>
      </c>
      <c r="H322" s="31">
        <f>AL322+MIN(R321+AB322-AL322,MAX(0,ROUND(Долги!$D$19-SUM($AL322:$AU322),2)))</f>
        <v>0.0</v>
      </c>
      <c r="I322" s="31">
        <f>AM322+MIN(S321+AC322-AM322,MAX(0,ROUND(ROUND(Долги!$D$19-SUM($AL322:$AU322),2)-(SUM($H322:H322)-SUM($AL322:AL322)),2)))</f>
        <v>0.0</v>
      </c>
      <c r="J322" s="31">
        <f>AN322+MIN(T321+AD322-AN322,MAX(0,ROUND(ROUND(Долги!$D$19-SUM($AL322:$AU322),2)-(SUM($H322:I322)-SUM($AL322:AM322)),2)))</f>
        <v>0.0</v>
      </c>
      <c r="K322" s="31">
        <f>AO322+MIN(U321+AE322-AO322,MAX(0,ROUND(ROUND(Долги!$D$19-SUM($AL322:$AU322),2)-(SUM($H322:J322)-SUM($AL322:AN322)),2)))</f>
        <v>0.0</v>
      </c>
      <c r="L322" s="31">
        <f>AP322+MIN(V321+AF322-AP322,MAX(0,ROUND(ROUND(Долги!$D$19-SUM($AL322:$AU322),2)-(SUM($H322:K322)-SUM($AL322:AO322)),2)))</f>
        <v>0.0</v>
      </c>
      <c r="M322" s="31">
        <f>AQ322+MIN(W321+AG322-AQ322,MAX(0,ROUND(ROUND(Долги!$D$19-SUM($AL322:$AU322),2)-(SUM($H322:L322)-SUM($AL322:AP322)),2)))</f>
        <v>0.0</v>
      </c>
      <c r="N322" s="31">
        <f>AR322+MIN(X321+AH322-AR322,MAX(0,ROUND(ROUND(Долги!$D$19-SUM($AL322:$AU322),2)-(SUM($H322:M322)-SUM($AL322:AQ322)),2)))</f>
        <v>0.0</v>
      </c>
      <c r="O322" s="31">
        <f>AS322+MIN(Y321+AI322-AS322,MAX(0,ROUND(ROUND(Долги!$D$19-SUM($AL322:$AU322),2)-(SUM($H322:N322)-SUM($AL322:AR322)),2)))</f>
        <v>0.0</v>
      </c>
      <c r="P322" s="31">
        <f>AT322+MIN(Z321+AJ322-AT322,MAX(0,ROUND(ROUND(Долги!$D$19-SUM($AL322:$AU322),2)-(SUM($H322:O322)-SUM($AL322:AS322)),2)))</f>
        <v>0.0</v>
      </c>
      <c r="Q322" s="31">
        <f>AU322+MIN(AA321+AK322-AU322,MAX(0,ROUND(ROUND(Долги!$D$19-SUM($AL322:$AU322),2)-(SUM($H322:P322)-SUM($AL322:AT322)),2)))</f>
        <v>0.0</v>
      </c>
      <c r="R322" s="31">
        <f>IF(R321+AB322-H322&lt;=0.01,0,ROUND(R321+AB322-H322,2))</f>
        <v>0.0</v>
      </c>
      <c r="S322" s="31">
        <f>IF(S321+AC322-I322&lt;=0.01,0,ROUND(S321+AC322-I322,2))</f>
        <v>0.0</v>
      </c>
      <c r="T322" s="31">
        <f>IF(T321+AD322-J322&lt;=0.01,0,ROUND(T321+AD322-J322,2))</f>
        <v>0.0</v>
      </c>
      <c r="U322" s="31">
        <f>IF(U321+AE322-K322&lt;=0.01,0,ROUND(U321+AE322-K322,2))</f>
        <v>0.0</v>
      </c>
      <c r="V322" s="31">
        <f>IF(V321+AF322-L322&lt;=0.01,0,ROUND(V321+AF322-L322,2))</f>
        <v>0.0</v>
      </c>
      <c r="W322" s="31">
        <f>IF(W321+AG322-M322&lt;=0.01,0,ROUND(W321+AG322-M322,2))</f>
        <v>0.0</v>
      </c>
      <c r="X322" s="31">
        <f>IF(X321+AH322-N322&lt;=0.01,0,ROUND(X321+AH322-N322,2))</f>
        <v>0.0</v>
      </c>
      <c r="Y322" s="31">
        <f>IF(Y321+AI322-O322&lt;=0.01,0,ROUND(Y321+AI322-O322,2))</f>
        <v>0.0</v>
      </c>
      <c r="Z322" s="31">
        <f>IF(Z321+AJ322-P322&lt;=0.01,0,ROUND(Z321+AJ322-P322,2))</f>
        <v>0.0</v>
      </c>
      <c r="AA322" s="31">
        <f>IF(AA321+AK322-Q322&lt;=0.01,0,ROUND(AA321+AK322-Q322,2))</f>
        <v>0.0</v>
      </c>
      <c r="AB322" s="31">
        <f>ROUND(R321*AB$5/1200,2)</f>
        <v>0.0</v>
      </c>
      <c r="AC322" s="31">
        <f>ROUND(S321*AC$5/1200,2)</f>
        <v>0.0</v>
      </c>
      <c r="AD322" s="31">
        <f>ROUND(T321*AD$5/1200,2)</f>
        <v>0.0</v>
      </c>
      <c r="AE322" s="31">
        <f>ROUND(U321*AE$5/1200,2)</f>
        <v>0.0</v>
      </c>
      <c r="AF322" s="31">
        <f>ROUND(V321*AF$5/1200,2)</f>
        <v>0.0</v>
      </c>
      <c r="AG322" s="31">
        <f>ROUND(W321*AG$5/1200,2)</f>
        <v>0.0</v>
      </c>
      <c r="AH322" s="31">
        <f>ROUND(X321*AH$5/1200,2)</f>
        <v>0.0</v>
      </c>
      <c r="AI322" s="31">
        <f>ROUND(Y321*AI$5/1200,2)</f>
        <v>0.0</v>
      </c>
      <c r="AJ322" s="31">
        <f>ROUND(Z321*AJ$5/1200,2)</f>
        <v>0.0</v>
      </c>
      <c r="AK322" s="31">
        <f>ROUND(AA321*AK$5/1200,2)</f>
        <v>0.0</v>
      </c>
      <c r="AL322" s="31">
        <f>MIN(AL$5,R321+AB322)</f>
        <v>0.0</v>
      </c>
      <c r="AM322" s="31">
        <f>MIN(AM$5,S321+AC322)</f>
        <v>0.0</v>
      </c>
      <c r="AN322" s="31">
        <f>MIN(AN$5,T321+AD322)</f>
        <v>0.0</v>
      </c>
      <c r="AO322" s="31">
        <f>MIN(AO$5,U321+AE322)</f>
        <v>0.0</v>
      </c>
      <c r="AP322" s="31">
        <f>MIN(AP$5,V321+AF322)</f>
        <v>0.0</v>
      </c>
      <c r="AQ322" s="31">
        <f>MIN(AQ$5,W321+AG322)</f>
        <v>0.0</v>
      </c>
      <c r="AR322" s="31">
        <f>MIN(AR$5,X321+AH322)</f>
        <v>0.0</v>
      </c>
      <c r="AS322" s="31">
        <f>MIN(AS$5,Y321+AI322)</f>
        <v>0.0</v>
      </c>
      <c r="AT322" s="31">
        <f>MIN(AT$5,Z321+AJ322)</f>
        <v>0.0</v>
      </c>
      <c r="AU322" s="31">
        <f>MIN(AU$5,AA321+AK322)</f>
        <v>0.0</v>
      </c>
    </row>
    <row r="323">
      <c r="A323" s="25" t="str">
        <f>IF(F322&gt;0.005,318,"")</f>
        <v/>
      </c>
      <c r="B323" s="33" t="str">
        <f>IF(A323="","",EDATE(Долги!$D$5,317))</f>
        <v/>
      </c>
      <c r="C323" s="31">
        <f>SUM(H323:Q323)</f>
        <v>0.0</v>
      </c>
      <c r="D323" s="31">
        <f>SUM(AB323:AK323)</f>
        <v>0.0</v>
      </c>
      <c r="E323" s="31">
        <f>C323-D323</f>
        <v>0.0</v>
      </c>
      <c r="F323" s="31">
        <f>SUM(R323:AA323)</f>
        <v>0.0</v>
      </c>
      <c r="G323" s="34" t="str">
        <f>IF(OR(A323="",$F$5&lt;=0),"",REPT("█",ROUND(20*F323/$F$5,0)))</f>
        <v/>
      </c>
      <c r="H323" s="31">
        <f>AL323+MIN(R322+AB323-AL323,MAX(0,ROUND(Долги!$D$19-SUM($AL323:$AU323),2)))</f>
        <v>0.0</v>
      </c>
      <c r="I323" s="31">
        <f>AM323+MIN(S322+AC323-AM323,MAX(0,ROUND(ROUND(Долги!$D$19-SUM($AL323:$AU323),2)-(SUM($H323:H323)-SUM($AL323:AL323)),2)))</f>
        <v>0.0</v>
      </c>
      <c r="J323" s="31">
        <f>AN323+MIN(T322+AD323-AN323,MAX(0,ROUND(ROUND(Долги!$D$19-SUM($AL323:$AU323),2)-(SUM($H323:I323)-SUM($AL323:AM323)),2)))</f>
        <v>0.0</v>
      </c>
      <c r="K323" s="31">
        <f>AO323+MIN(U322+AE323-AO323,MAX(0,ROUND(ROUND(Долги!$D$19-SUM($AL323:$AU323),2)-(SUM($H323:J323)-SUM($AL323:AN323)),2)))</f>
        <v>0.0</v>
      </c>
      <c r="L323" s="31">
        <f>AP323+MIN(V322+AF323-AP323,MAX(0,ROUND(ROUND(Долги!$D$19-SUM($AL323:$AU323),2)-(SUM($H323:K323)-SUM($AL323:AO323)),2)))</f>
        <v>0.0</v>
      </c>
      <c r="M323" s="31">
        <f>AQ323+MIN(W322+AG323-AQ323,MAX(0,ROUND(ROUND(Долги!$D$19-SUM($AL323:$AU323),2)-(SUM($H323:L323)-SUM($AL323:AP323)),2)))</f>
        <v>0.0</v>
      </c>
      <c r="N323" s="31">
        <f>AR323+MIN(X322+AH323-AR323,MAX(0,ROUND(ROUND(Долги!$D$19-SUM($AL323:$AU323),2)-(SUM($H323:M323)-SUM($AL323:AQ323)),2)))</f>
        <v>0.0</v>
      </c>
      <c r="O323" s="31">
        <f>AS323+MIN(Y322+AI323-AS323,MAX(0,ROUND(ROUND(Долги!$D$19-SUM($AL323:$AU323),2)-(SUM($H323:N323)-SUM($AL323:AR323)),2)))</f>
        <v>0.0</v>
      </c>
      <c r="P323" s="31">
        <f>AT323+MIN(Z322+AJ323-AT323,MAX(0,ROUND(ROUND(Долги!$D$19-SUM($AL323:$AU323),2)-(SUM($H323:O323)-SUM($AL323:AS323)),2)))</f>
        <v>0.0</v>
      </c>
      <c r="Q323" s="31">
        <f>AU323+MIN(AA322+AK323-AU323,MAX(0,ROUND(ROUND(Долги!$D$19-SUM($AL323:$AU323),2)-(SUM($H323:P323)-SUM($AL323:AT323)),2)))</f>
        <v>0.0</v>
      </c>
      <c r="R323" s="31">
        <f>IF(R322+AB323-H323&lt;=0.01,0,ROUND(R322+AB323-H323,2))</f>
        <v>0.0</v>
      </c>
      <c r="S323" s="31">
        <f>IF(S322+AC323-I323&lt;=0.01,0,ROUND(S322+AC323-I323,2))</f>
        <v>0.0</v>
      </c>
      <c r="T323" s="31">
        <f>IF(T322+AD323-J323&lt;=0.01,0,ROUND(T322+AD323-J323,2))</f>
        <v>0.0</v>
      </c>
      <c r="U323" s="31">
        <f>IF(U322+AE323-K323&lt;=0.01,0,ROUND(U322+AE323-K323,2))</f>
        <v>0.0</v>
      </c>
      <c r="V323" s="31">
        <f>IF(V322+AF323-L323&lt;=0.01,0,ROUND(V322+AF323-L323,2))</f>
        <v>0.0</v>
      </c>
      <c r="W323" s="31">
        <f>IF(W322+AG323-M323&lt;=0.01,0,ROUND(W322+AG323-M323,2))</f>
        <v>0.0</v>
      </c>
      <c r="X323" s="31">
        <f>IF(X322+AH323-N323&lt;=0.01,0,ROUND(X322+AH323-N323,2))</f>
        <v>0.0</v>
      </c>
      <c r="Y323" s="31">
        <f>IF(Y322+AI323-O323&lt;=0.01,0,ROUND(Y322+AI323-O323,2))</f>
        <v>0.0</v>
      </c>
      <c r="Z323" s="31">
        <f>IF(Z322+AJ323-P323&lt;=0.01,0,ROUND(Z322+AJ323-P323,2))</f>
        <v>0.0</v>
      </c>
      <c r="AA323" s="31">
        <f>IF(AA322+AK323-Q323&lt;=0.01,0,ROUND(AA322+AK323-Q323,2))</f>
        <v>0.0</v>
      </c>
      <c r="AB323" s="31">
        <f>ROUND(R322*AB$5/1200,2)</f>
        <v>0.0</v>
      </c>
      <c r="AC323" s="31">
        <f>ROUND(S322*AC$5/1200,2)</f>
        <v>0.0</v>
      </c>
      <c r="AD323" s="31">
        <f>ROUND(T322*AD$5/1200,2)</f>
        <v>0.0</v>
      </c>
      <c r="AE323" s="31">
        <f>ROUND(U322*AE$5/1200,2)</f>
        <v>0.0</v>
      </c>
      <c r="AF323" s="31">
        <f>ROUND(V322*AF$5/1200,2)</f>
        <v>0.0</v>
      </c>
      <c r="AG323" s="31">
        <f>ROUND(W322*AG$5/1200,2)</f>
        <v>0.0</v>
      </c>
      <c r="AH323" s="31">
        <f>ROUND(X322*AH$5/1200,2)</f>
        <v>0.0</v>
      </c>
      <c r="AI323" s="31">
        <f>ROUND(Y322*AI$5/1200,2)</f>
        <v>0.0</v>
      </c>
      <c r="AJ323" s="31">
        <f>ROUND(Z322*AJ$5/1200,2)</f>
        <v>0.0</v>
      </c>
      <c r="AK323" s="31">
        <f>ROUND(AA322*AK$5/1200,2)</f>
        <v>0.0</v>
      </c>
      <c r="AL323" s="31">
        <f>MIN(AL$5,R322+AB323)</f>
        <v>0.0</v>
      </c>
      <c r="AM323" s="31">
        <f>MIN(AM$5,S322+AC323)</f>
        <v>0.0</v>
      </c>
      <c r="AN323" s="31">
        <f>MIN(AN$5,T322+AD323)</f>
        <v>0.0</v>
      </c>
      <c r="AO323" s="31">
        <f>MIN(AO$5,U322+AE323)</f>
        <v>0.0</v>
      </c>
      <c r="AP323" s="31">
        <f>MIN(AP$5,V322+AF323)</f>
        <v>0.0</v>
      </c>
      <c r="AQ323" s="31">
        <f>MIN(AQ$5,W322+AG323)</f>
        <v>0.0</v>
      </c>
      <c r="AR323" s="31">
        <f>MIN(AR$5,X322+AH323)</f>
        <v>0.0</v>
      </c>
      <c r="AS323" s="31">
        <f>MIN(AS$5,Y322+AI323)</f>
        <v>0.0</v>
      </c>
      <c r="AT323" s="31">
        <f>MIN(AT$5,Z322+AJ323)</f>
        <v>0.0</v>
      </c>
      <c r="AU323" s="31">
        <f>MIN(AU$5,AA322+AK323)</f>
        <v>0.0</v>
      </c>
    </row>
    <row r="324">
      <c r="A324" s="25" t="str">
        <f>IF(F323&gt;0.005,319,"")</f>
        <v/>
      </c>
      <c r="B324" s="33" t="str">
        <f>IF(A324="","",EDATE(Долги!$D$5,318))</f>
        <v/>
      </c>
      <c r="C324" s="31">
        <f>SUM(H324:Q324)</f>
        <v>0.0</v>
      </c>
      <c r="D324" s="31">
        <f>SUM(AB324:AK324)</f>
        <v>0.0</v>
      </c>
      <c r="E324" s="31">
        <f>C324-D324</f>
        <v>0.0</v>
      </c>
      <c r="F324" s="31">
        <f>SUM(R324:AA324)</f>
        <v>0.0</v>
      </c>
      <c r="G324" s="34" t="str">
        <f>IF(OR(A324="",$F$5&lt;=0),"",REPT("█",ROUND(20*F324/$F$5,0)))</f>
        <v/>
      </c>
      <c r="H324" s="31">
        <f>AL324+MIN(R323+AB324-AL324,MAX(0,ROUND(Долги!$D$19-SUM($AL324:$AU324),2)))</f>
        <v>0.0</v>
      </c>
      <c r="I324" s="31">
        <f>AM324+MIN(S323+AC324-AM324,MAX(0,ROUND(ROUND(Долги!$D$19-SUM($AL324:$AU324),2)-(SUM($H324:H324)-SUM($AL324:AL324)),2)))</f>
        <v>0.0</v>
      </c>
      <c r="J324" s="31">
        <f>AN324+MIN(T323+AD324-AN324,MAX(0,ROUND(ROUND(Долги!$D$19-SUM($AL324:$AU324),2)-(SUM($H324:I324)-SUM($AL324:AM324)),2)))</f>
        <v>0.0</v>
      </c>
      <c r="K324" s="31">
        <f>AO324+MIN(U323+AE324-AO324,MAX(0,ROUND(ROUND(Долги!$D$19-SUM($AL324:$AU324),2)-(SUM($H324:J324)-SUM($AL324:AN324)),2)))</f>
        <v>0.0</v>
      </c>
      <c r="L324" s="31">
        <f>AP324+MIN(V323+AF324-AP324,MAX(0,ROUND(ROUND(Долги!$D$19-SUM($AL324:$AU324),2)-(SUM($H324:K324)-SUM($AL324:AO324)),2)))</f>
        <v>0.0</v>
      </c>
      <c r="M324" s="31">
        <f>AQ324+MIN(W323+AG324-AQ324,MAX(0,ROUND(ROUND(Долги!$D$19-SUM($AL324:$AU324),2)-(SUM($H324:L324)-SUM($AL324:AP324)),2)))</f>
        <v>0.0</v>
      </c>
      <c r="N324" s="31">
        <f>AR324+MIN(X323+AH324-AR324,MAX(0,ROUND(ROUND(Долги!$D$19-SUM($AL324:$AU324),2)-(SUM($H324:M324)-SUM($AL324:AQ324)),2)))</f>
        <v>0.0</v>
      </c>
      <c r="O324" s="31">
        <f>AS324+MIN(Y323+AI324-AS324,MAX(0,ROUND(ROUND(Долги!$D$19-SUM($AL324:$AU324),2)-(SUM($H324:N324)-SUM($AL324:AR324)),2)))</f>
        <v>0.0</v>
      </c>
      <c r="P324" s="31">
        <f>AT324+MIN(Z323+AJ324-AT324,MAX(0,ROUND(ROUND(Долги!$D$19-SUM($AL324:$AU324),2)-(SUM($H324:O324)-SUM($AL324:AS324)),2)))</f>
        <v>0.0</v>
      </c>
      <c r="Q324" s="31">
        <f>AU324+MIN(AA323+AK324-AU324,MAX(0,ROUND(ROUND(Долги!$D$19-SUM($AL324:$AU324),2)-(SUM($H324:P324)-SUM($AL324:AT324)),2)))</f>
        <v>0.0</v>
      </c>
      <c r="R324" s="31">
        <f>IF(R323+AB324-H324&lt;=0.01,0,ROUND(R323+AB324-H324,2))</f>
        <v>0.0</v>
      </c>
      <c r="S324" s="31">
        <f>IF(S323+AC324-I324&lt;=0.01,0,ROUND(S323+AC324-I324,2))</f>
        <v>0.0</v>
      </c>
      <c r="T324" s="31">
        <f>IF(T323+AD324-J324&lt;=0.01,0,ROUND(T323+AD324-J324,2))</f>
        <v>0.0</v>
      </c>
      <c r="U324" s="31">
        <f>IF(U323+AE324-K324&lt;=0.01,0,ROUND(U323+AE324-K324,2))</f>
        <v>0.0</v>
      </c>
      <c r="V324" s="31">
        <f>IF(V323+AF324-L324&lt;=0.01,0,ROUND(V323+AF324-L324,2))</f>
        <v>0.0</v>
      </c>
      <c r="W324" s="31">
        <f>IF(W323+AG324-M324&lt;=0.01,0,ROUND(W323+AG324-M324,2))</f>
        <v>0.0</v>
      </c>
      <c r="X324" s="31">
        <f>IF(X323+AH324-N324&lt;=0.01,0,ROUND(X323+AH324-N324,2))</f>
        <v>0.0</v>
      </c>
      <c r="Y324" s="31">
        <f>IF(Y323+AI324-O324&lt;=0.01,0,ROUND(Y323+AI324-O324,2))</f>
        <v>0.0</v>
      </c>
      <c r="Z324" s="31">
        <f>IF(Z323+AJ324-P324&lt;=0.01,0,ROUND(Z323+AJ324-P324,2))</f>
        <v>0.0</v>
      </c>
      <c r="AA324" s="31">
        <f>IF(AA323+AK324-Q324&lt;=0.01,0,ROUND(AA323+AK324-Q324,2))</f>
        <v>0.0</v>
      </c>
      <c r="AB324" s="31">
        <f>ROUND(R323*AB$5/1200,2)</f>
        <v>0.0</v>
      </c>
      <c r="AC324" s="31">
        <f>ROUND(S323*AC$5/1200,2)</f>
        <v>0.0</v>
      </c>
      <c r="AD324" s="31">
        <f>ROUND(T323*AD$5/1200,2)</f>
        <v>0.0</v>
      </c>
      <c r="AE324" s="31">
        <f>ROUND(U323*AE$5/1200,2)</f>
        <v>0.0</v>
      </c>
      <c r="AF324" s="31">
        <f>ROUND(V323*AF$5/1200,2)</f>
        <v>0.0</v>
      </c>
      <c r="AG324" s="31">
        <f>ROUND(W323*AG$5/1200,2)</f>
        <v>0.0</v>
      </c>
      <c r="AH324" s="31">
        <f>ROUND(X323*AH$5/1200,2)</f>
        <v>0.0</v>
      </c>
      <c r="AI324" s="31">
        <f>ROUND(Y323*AI$5/1200,2)</f>
        <v>0.0</v>
      </c>
      <c r="AJ324" s="31">
        <f>ROUND(Z323*AJ$5/1200,2)</f>
        <v>0.0</v>
      </c>
      <c r="AK324" s="31">
        <f>ROUND(AA323*AK$5/1200,2)</f>
        <v>0.0</v>
      </c>
      <c r="AL324" s="31">
        <f>MIN(AL$5,R323+AB324)</f>
        <v>0.0</v>
      </c>
      <c r="AM324" s="31">
        <f>MIN(AM$5,S323+AC324)</f>
        <v>0.0</v>
      </c>
      <c r="AN324" s="31">
        <f>MIN(AN$5,T323+AD324)</f>
        <v>0.0</v>
      </c>
      <c r="AO324" s="31">
        <f>MIN(AO$5,U323+AE324)</f>
        <v>0.0</v>
      </c>
      <c r="AP324" s="31">
        <f>MIN(AP$5,V323+AF324)</f>
        <v>0.0</v>
      </c>
      <c r="AQ324" s="31">
        <f>MIN(AQ$5,W323+AG324)</f>
        <v>0.0</v>
      </c>
      <c r="AR324" s="31">
        <f>MIN(AR$5,X323+AH324)</f>
        <v>0.0</v>
      </c>
      <c r="AS324" s="31">
        <f>MIN(AS$5,Y323+AI324)</f>
        <v>0.0</v>
      </c>
      <c r="AT324" s="31">
        <f>MIN(AT$5,Z323+AJ324)</f>
        <v>0.0</v>
      </c>
      <c r="AU324" s="31">
        <f>MIN(AU$5,AA323+AK324)</f>
        <v>0.0</v>
      </c>
    </row>
    <row r="325">
      <c r="A325" s="25" t="str">
        <f>IF(F324&gt;0.005,320,"")</f>
        <v/>
      </c>
      <c r="B325" s="33" t="str">
        <f>IF(A325="","",EDATE(Долги!$D$5,319))</f>
        <v/>
      </c>
      <c r="C325" s="31">
        <f>SUM(H325:Q325)</f>
        <v>0.0</v>
      </c>
      <c r="D325" s="31">
        <f>SUM(AB325:AK325)</f>
        <v>0.0</v>
      </c>
      <c r="E325" s="31">
        <f>C325-D325</f>
        <v>0.0</v>
      </c>
      <c r="F325" s="31">
        <f>SUM(R325:AA325)</f>
        <v>0.0</v>
      </c>
      <c r="G325" s="34" t="str">
        <f>IF(OR(A325="",$F$5&lt;=0),"",REPT("█",ROUND(20*F325/$F$5,0)))</f>
        <v/>
      </c>
      <c r="H325" s="31">
        <f>AL325+MIN(R324+AB325-AL325,MAX(0,ROUND(Долги!$D$19-SUM($AL325:$AU325),2)))</f>
        <v>0.0</v>
      </c>
      <c r="I325" s="31">
        <f>AM325+MIN(S324+AC325-AM325,MAX(0,ROUND(ROUND(Долги!$D$19-SUM($AL325:$AU325),2)-(SUM($H325:H325)-SUM($AL325:AL325)),2)))</f>
        <v>0.0</v>
      </c>
      <c r="J325" s="31">
        <f>AN325+MIN(T324+AD325-AN325,MAX(0,ROUND(ROUND(Долги!$D$19-SUM($AL325:$AU325),2)-(SUM($H325:I325)-SUM($AL325:AM325)),2)))</f>
        <v>0.0</v>
      </c>
      <c r="K325" s="31">
        <f>AO325+MIN(U324+AE325-AO325,MAX(0,ROUND(ROUND(Долги!$D$19-SUM($AL325:$AU325),2)-(SUM($H325:J325)-SUM($AL325:AN325)),2)))</f>
        <v>0.0</v>
      </c>
      <c r="L325" s="31">
        <f>AP325+MIN(V324+AF325-AP325,MAX(0,ROUND(ROUND(Долги!$D$19-SUM($AL325:$AU325),2)-(SUM($H325:K325)-SUM($AL325:AO325)),2)))</f>
        <v>0.0</v>
      </c>
      <c r="M325" s="31">
        <f>AQ325+MIN(W324+AG325-AQ325,MAX(0,ROUND(ROUND(Долги!$D$19-SUM($AL325:$AU325),2)-(SUM($H325:L325)-SUM($AL325:AP325)),2)))</f>
        <v>0.0</v>
      </c>
      <c r="N325" s="31">
        <f>AR325+MIN(X324+AH325-AR325,MAX(0,ROUND(ROUND(Долги!$D$19-SUM($AL325:$AU325),2)-(SUM($H325:M325)-SUM($AL325:AQ325)),2)))</f>
        <v>0.0</v>
      </c>
      <c r="O325" s="31">
        <f>AS325+MIN(Y324+AI325-AS325,MAX(0,ROUND(ROUND(Долги!$D$19-SUM($AL325:$AU325),2)-(SUM($H325:N325)-SUM($AL325:AR325)),2)))</f>
        <v>0.0</v>
      </c>
      <c r="P325" s="31">
        <f>AT325+MIN(Z324+AJ325-AT325,MAX(0,ROUND(ROUND(Долги!$D$19-SUM($AL325:$AU325),2)-(SUM($H325:O325)-SUM($AL325:AS325)),2)))</f>
        <v>0.0</v>
      </c>
      <c r="Q325" s="31">
        <f>AU325+MIN(AA324+AK325-AU325,MAX(0,ROUND(ROUND(Долги!$D$19-SUM($AL325:$AU325),2)-(SUM($H325:P325)-SUM($AL325:AT325)),2)))</f>
        <v>0.0</v>
      </c>
      <c r="R325" s="31">
        <f>IF(R324+AB325-H325&lt;=0.01,0,ROUND(R324+AB325-H325,2))</f>
        <v>0.0</v>
      </c>
      <c r="S325" s="31">
        <f>IF(S324+AC325-I325&lt;=0.01,0,ROUND(S324+AC325-I325,2))</f>
        <v>0.0</v>
      </c>
      <c r="T325" s="31">
        <f>IF(T324+AD325-J325&lt;=0.01,0,ROUND(T324+AD325-J325,2))</f>
        <v>0.0</v>
      </c>
      <c r="U325" s="31">
        <f>IF(U324+AE325-K325&lt;=0.01,0,ROUND(U324+AE325-K325,2))</f>
        <v>0.0</v>
      </c>
      <c r="V325" s="31">
        <f>IF(V324+AF325-L325&lt;=0.01,0,ROUND(V324+AF325-L325,2))</f>
        <v>0.0</v>
      </c>
      <c r="W325" s="31">
        <f>IF(W324+AG325-M325&lt;=0.01,0,ROUND(W324+AG325-M325,2))</f>
        <v>0.0</v>
      </c>
      <c r="X325" s="31">
        <f>IF(X324+AH325-N325&lt;=0.01,0,ROUND(X324+AH325-N325,2))</f>
        <v>0.0</v>
      </c>
      <c r="Y325" s="31">
        <f>IF(Y324+AI325-O325&lt;=0.01,0,ROUND(Y324+AI325-O325,2))</f>
        <v>0.0</v>
      </c>
      <c r="Z325" s="31">
        <f>IF(Z324+AJ325-P325&lt;=0.01,0,ROUND(Z324+AJ325-P325,2))</f>
        <v>0.0</v>
      </c>
      <c r="AA325" s="31">
        <f>IF(AA324+AK325-Q325&lt;=0.01,0,ROUND(AA324+AK325-Q325,2))</f>
        <v>0.0</v>
      </c>
      <c r="AB325" s="31">
        <f>ROUND(R324*AB$5/1200,2)</f>
        <v>0.0</v>
      </c>
      <c r="AC325" s="31">
        <f>ROUND(S324*AC$5/1200,2)</f>
        <v>0.0</v>
      </c>
      <c r="AD325" s="31">
        <f>ROUND(T324*AD$5/1200,2)</f>
        <v>0.0</v>
      </c>
      <c r="AE325" s="31">
        <f>ROUND(U324*AE$5/1200,2)</f>
        <v>0.0</v>
      </c>
      <c r="AF325" s="31">
        <f>ROUND(V324*AF$5/1200,2)</f>
        <v>0.0</v>
      </c>
      <c r="AG325" s="31">
        <f>ROUND(W324*AG$5/1200,2)</f>
        <v>0.0</v>
      </c>
      <c r="AH325" s="31">
        <f>ROUND(X324*AH$5/1200,2)</f>
        <v>0.0</v>
      </c>
      <c r="AI325" s="31">
        <f>ROUND(Y324*AI$5/1200,2)</f>
        <v>0.0</v>
      </c>
      <c r="AJ325" s="31">
        <f>ROUND(Z324*AJ$5/1200,2)</f>
        <v>0.0</v>
      </c>
      <c r="AK325" s="31">
        <f>ROUND(AA324*AK$5/1200,2)</f>
        <v>0.0</v>
      </c>
      <c r="AL325" s="31">
        <f>MIN(AL$5,R324+AB325)</f>
        <v>0.0</v>
      </c>
      <c r="AM325" s="31">
        <f>MIN(AM$5,S324+AC325)</f>
        <v>0.0</v>
      </c>
      <c r="AN325" s="31">
        <f>MIN(AN$5,T324+AD325)</f>
        <v>0.0</v>
      </c>
      <c r="AO325" s="31">
        <f>MIN(AO$5,U324+AE325)</f>
        <v>0.0</v>
      </c>
      <c r="AP325" s="31">
        <f>MIN(AP$5,V324+AF325)</f>
        <v>0.0</v>
      </c>
      <c r="AQ325" s="31">
        <f>MIN(AQ$5,W324+AG325)</f>
        <v>0.0</v>
      </c>
      <c r="AR325" s="31">
        <f>MIN(AR$5,X324+AH325)</f>
        <v>0.0</v>
      </c>
      <c r="AS325" s="31">
        <f>MIN(AS$5,Y324+AI325)</f>
        <v>0.0</v>
      </c>
      <c r="AT325" s="31">
        <f>MIN(AT$5,Z324+AJ325)</f>
        <v>0.0</v>
      </c>
      <c r="AU325" s="31">
        <f>MIN(AU$5,AA324+AK325)</f>
        <v>0.0</v>
      </c>
    </row>
    <row r="326">
      <c r="A326" s="25" t="str">
        <f>IF(F325&gt;0.005,321,"")</f>
        <v/>
      </c>
      <c r="B326" s="33" t="str">
        <f>IF(A326="","",EDATE(Долги!$D$5,320))</f>
        <v/>
      </c>
      <c r="C326" s="31">
        <f>SUM(H326:Q326)</f>
        <v>0.0</v>
      </c>
      <c r="D326" s="31">
        <f>SUM(AB326:AK326)</f>
        <v>0.0</v>
      </c>
      <c r="E326" s="31">
        <f>C326-D326</f>
        <v>0.0</v>
      </c>
      <c r="F326" s="31">
        <f>SUM(R326:AA326)</f>
        <v>0.0</v>
      </c>
      <c r="G326" s="34" t="str">
        <f>IF(OR(A326="",$F$5&lt;=0),"",REPT("█",ROUND(20*F326/$F$5,0)))</f>
        <v/>
      </c>
      <c r="H326" s="31">
        <f>AL326+MIN(R325+AB326-AL326,MAX(0,ROUND(Долги!$D$19-SUM($AL326:$AU326),2)))</f>
        <v>0.0</v>
      </c>
      <c r="I326" s="31">
        <f>AM326+MIN(S325+AC326-AM326,MAX(0,ROUND(ROUND(Долги!$D$19-SUM($AL326:$AU326),2)-(SUM($H326:H326)-SUM($AL326:AL326)),2)))</f>
        <v>0.0</v>
      </c>
      <c r="J326" s="31">
        <f>AN326+MIN(T325+AD326-AN326,MAX(0,ROUND(ROUND(Долги!$D$19-SUM($AL326:$AU326),2)-(SUM($H326:I326)-SUM($AL326:AM326)),2)))</f>
        <v>0.0</v>
      </c>
      <c r="K326" s="31">
        <f>AO326+MIN(U325+AE326-AO326,MAX(0,ROUND(ROUND(Долги!$D$19-SUM($AL326:$AU326),2)-(SUM($H326:J326)-SUM($AL326:AN326)),2)))</f>
        <v>0.0</v>
      </c>
      <c r="L326" s="31">
        <f>AP326+MIN(V325+AF326-AP326,MAX(0,ROUND(ROUND(Долги!$D$19-SUM($AL326:$AU326),2)-(SUM($H326:K326)-SUM($AL326:AO326)),2)))</f>
        <v>0.0</v>
      </c>
      <c r="M326" s="31">
        <f>AQ326+MIN(W325+AG326-AQ326,MAX(0,ROUND(ROUND(Долги!$D$19-SUM($AL326:$AU326),2)-(SUM($H326:L326)-SUM($AL326:AP326)),2)))</f>
        <v>0.0</v>
      </c>
      <c r="N326" s="31">
        <f>AR326+MIN(X325+AH326-AR326,MAX(0,ROUND(ROUND(Долги!$D$19-SUM($AL326:$AU326),2)-(SUM($H326:M326)-SUM($AL326:AQ326)),2)))</f>
        <v>0.0</v>
      </c>
      <c r="O326" s="31">
        <f>AS326+MIN(Y325+AI326-AS326,MAX(0,ROUND(ROUND(Долги!$D$19-SUM($AL326:$AU326),2)-(SUM($H326:N326)-SUM($AL326:AR326)),2)))</f>
        <v>0.0</v>
      </c>
      <c r="P326" s="31">
        <f>AT326+MIN(Z325+AJ326-AT326,MAX(0,ROUND(ROUND(Долги!$D$19-SUM($AL326:$AU326),2)-(SUM($H326:O326)-SUM($AL326:AS326)),2)))</f>
        <v>0.0</v>
      </c>
      <c r="Q326" s="31">
        <f>AU326+MIN(AA325+AK326-AU326,MAX(0,ROUND(ROUND(Долги!$D$19-SUM($AL326:$AU326),2)-(SUM($H326:P326)-SUM($AL326:AT326)),2)))</f>
        <v>0.0</v>
      </c>
      <c r="R326" s="31">
        <f>IF(R325+AB326-H326&lt;=0.01,0,ROUND(R325+AB326-H326,2))</f>
        <v>0.0</v>
      </c>
      <c r="S326" s="31">
        <f>IF(S325+AC326-I326&lt;=0.01,0,ROUND(S325+AC326-I326,2))</f>
        <v>0.0</v>
      </c>
      <c r="T326" s="31">
        <f>IF(T325+AD326-J326&lt;=0.01,0,ROUND(T325+AD326-J326,2))</f>
        <v>0.0</v>
      </c>
      <c r="U326" s="31">
        <f>IF(U325+AE326-K326&lt;=0.01,0,ROUND(U325+AE326-K326,2))</f>
        <v>0.0</v>
      </c>
      <c r="V326" s="31">
        <f>IF(V325+AF326-L326&lt;=0.01,0,ROUND(V325+AF326-L326,2))</f>
        <v>0.0</v>
      </c>
      <c r="W326" s="31">
        <f>IF(W325+AG326-M326&lt;=0.01,0,ROUND(W325+AG326-M326,2))</f>
        <v>0.0</v>
      </c>
      <c r="X326" s="31">
        <f>IF(X325+AH326-N326&lt;=0.01,0,ROUND(X325+AH326-N326,2))</f>
        <v>0.0</v>
      </c>
      <c r="Y326" s="31">
        <f>IF(Y325+AI326-O326&lt;=0.01,0,ROUND(Y325+AI326-O326,2))</f>
        <v>0.0</v>
      </c>
      <c r="Z326" s="31">
        <f>IF(Z325+AJ326-P326&lt;=0.01,0,ROUND(Z325+AJ326-P326,2))</f>
        <v>0.0</v>
      </c>
      <c r="AA326" s="31">
        <f>IF(AA325+AK326-Q326&lt;=0.01,0,ROUND(AA325+AK326-Q326,2))</f>
        <v>0.0</v>
      </c>
      <c r="AB326" s="31">
        <f>ROUND(R325*AB$5/1200,2)</f>
        <v>0.0</v>
      </c>
      <c r="AC326" s="31">
        <f>ROUND(S325*AC$5/1200,2)</f>
        <v>0.0</v>
      </c>
      <c r="AD326" s="31">
        <f>ROUND(T325*AD$5/1200,2)</f>
        <v>0.0</v>
      </c>
      <c r="AE326" s="31">
        <f>ROUND(U325*AE$5/1200,2)</f>
        <v>0.0</v>
      </c>
      <c r="AF326" s="31">
        <f>ROUND(V325*AF$5/1200,2)</f>
        <v>0.0</v>
      </c>
      <c r="AG326" s="31">
        <f>ROUND(W325*AG$5/1200,2)</f>
        <v>0.0</v>
      </c>
      <c r="AH326" s="31">
        <f>ROUND(X325*AH$5/1200,2)</f>
        <v>0.0</v>
      </c>
      <c r="AI326" s="31">
        <f>ROUND(Y325*AI$5/1200,2)</f>
        <v>0.0</v>
      </c>
      <c r="AJ326" s="31">
        <f>ROUND(Z325*AJ$5/1200,2)</f>
        <v>0.0</v>
      </c>
      <c r="AK326" s="31">
        <f>ROUND(AA325*AK$5/1200,2)</f>
        <v>0.0</v>
      </c>
      <c r="AL326" s="31">
        <f>MIN(AL$5,R325+AB326)</f>
        <v>0.0</v>
      </c>
      <c r="AM326" s="31">
        <f>MIN(AM$5,S325+AC326)</f>
        <v>0.0</v>
      </c>
      <c r="AN326" s="31">
        <f>MIN(AN$5,T325+AD326)</f>
        <v>0.0</v>
      </c>
      <c r="AO326" s="31">
        <f>MIN(AO$5,U325+AE326)</f>
        <v>0.0</v>
      </c>
      <c r="AP326" s="31">
        <f>MIN(AP$5,V325+AF326)</f>
        <v>0.0</v>
      </c>
      <c r="AQ326" s="31">
        <f>MIN(AQ$5,W325+AG326)</f>
        <v>0.0</v>
      </c>
      <c r="AR326" s="31">
        <f>MIN(AR$5,X325+AH326)</f>
        <v>0.0</v>
      </c>
      <c r="AS326" s="31">
        <f>MIN(AS$5,Y325+AI326)</f>
        <v>0.0</v>
      </c>
      <c r="AT326" s="31">
        <f>MIN(AT$5,Z325+AJ326)</f>
        <v>0.0</v>
      </c>
      <c r="AU326" s="31">
        <f>MIN(AU$5,AA325+AK326)</f>
        <v>0.0</v>
      </c>
    </row>
    <row r="327">
      <c r="A327" s="25" t="str">
        <f>IF(F326&gt;0.005,322,"")</f>
        <v/>
      </c>
      <c r="B327" s="33" t="str">
        <f>IF(A327="","",EDATE(Долги!$D$5,321))</f>
        <v/>
      </c>
      <c r="C327" s="31">
        <f>SUM(H327:Q327)</f>
        <v>0.0</v>
      </c>
      <c r="D327" s="31">
        <f>SUM(AB327:AK327)</f>
        <v>0.0</v>
      </c>
      <c r="E327" s="31">
        <f>C327-D327</f>
        <v>0.0</v>
      </c>
      <c r="F327" s="31">
        <f>SUM(R327:AA327)</f>
        <v>0.0</v>
      </c>
      <c r="G327" s="34" t="str">
        <f>IF(OR(A327="",$F$5&lt;=0),"",REPT("█",ROUND(20*F327/$F$5,0)))</f>
        <v/>
      </c>
      <c r="H327" s="31">
        <f>AL327+MIN(R326+AB327-AL327,MAX(0,ROUND(Долги!$D$19-SUM($AL327:$AU327),2)))</f>
        <v>0.0</v>
      </c>
      <c r="I327" s="31">
        <f>AM327+MIN(S326+AC327-AM327,MAX(0,ROUND(ROUND(Долги!$D$19-SUM($AL327:$AU327),2)-(SUM($H327:H327)-SUM($AL327:AL327)),2)))</f>
        <v>0.0</v>
      </c>
      <c r="J327" s="31">
        <f>AN327+MIN(T326+AD327-AN327,MAX(0,ROUND(ROUND(Долги!$D$19-SUM($AL327:$AU327),2)-(SUM($H327:I327)-SUM($AL327:AM327)),2)))</f>
        <v>0.0</v>
      </c>
      <c r="K327" s="31">
        <f>AO327+MIN(U326+AE327-AO327,MAX(0,ROUND(ROUND(Долги!$D$19-SUM($AL327:$AU327),2)-(SUM($H327:J327)-SUM($AL327:AN327)),2)))</f>
        <v>0.0</v>
      </c>
      <c r="L327" s="31">
        <f>AP327+MIN(V326+AF327-AP327,MAX(0,ROUND(ROUND(Долги!$D$19-SUM($AL327:$AU327),2)-(SUM($H327:K327)-SUM($AL327:AO327)),2)))</f>
        <v>0.0</v>
      </c>
      <c r="M327" s="31">
        <f>AQ327+MIN(W326+AG327-AQ327,MAX(0,ROUND(ROUND(Долги!$D$19-SUM($AL327:$AU327),2)-(SUM($H327:L327)-SUM($AL327:AP327)),2)))</f>
        <v>0.0</v>
      </c>
      <c r="N327" s="31">
        <f>AR327+MIN(X326+AH327-AR327,MAX(0,ROUND(ROUND(Долги!$D$19-SUM($AL327:$AU327),2)-(SUM($H327:M327)-SUM($AL327:AQ327)),2)))</f>
        <v>0.0</v>
      </c>
      <c r="O327" s="31">
        <f>AS327+MIN(Y326+AI327-AS327,MAX(0,ROUND(ROUND(Долги!$D$19-SUM($AL327:$AU327),2)-(SUM($H327:N327)-SUM($AL327:AR327)),2)))</f>
        <v>0.0</v>
      </c>
      <c r="P327" s="31">
        <f>AT327+MIN(Z326+AJ327-AT327,MAX(0,ROUND(ROUND(Долги!$D$19-SUM($AL327:$AU327),2)-(SUM($H327:O327)-SUM($AL327:AS327)),2)))</f>
        <v>0.0</v>
      </c>
      <c r="Q327" s="31">
        <f>AU327+MIN(AA326+AK327-AU327,MAX(0,ROUND(ROUND(Долги!$D$19-SUM($AL327:$AU327),2)-(SUM($H327:P327)-SUM($AL327:AT327)),2)))</f>
        <v>0.0</v>
      </c>
      <c r="R327" s="31">
        <f>IF(R326+AB327-H327&lt;=0.01,0,ROUND(R326+AB327-H327,2))</f>
        <v>0.0</v>
      </c>
      <c r="S327" s="31">
        <f>IF(S326+AC327-I327&lt;=0.01,0,ROUND(S326+AC327-I327,2))</f>
        <v>0.0</v>
      </c>
      <c r="T327" s="31">
        <f>IF(T326+AD327-J327&lt;=0.01,0,ROUND(T326+AD327-J327,2))</f>
        <v>0.0</v>
      </c>
      <c r="U327" s="31">
        <f>IF(U326+AE327-K327&lt;=0.01,0,ROUND(U326+AE327-K327,2))</f>
        <v>0.0</v>
      </c>
      <c r="V327" s="31">
        <f>IF(V326+AF327-L327&lt;=0.01,0,ROUND(V326+AF327-L327,2))</f>
        <v>0.0</v>
      </c>
      <c r="W327" s="31">
        <f>IF(W326+AG327-M327&lt;=0.01,0,ROUND(W326+AG327-M327,2))</f>
        <v>0.0</v>
      </c>
      <c r="X327" s="31">
        <f>IF(X326+AH327-N327&lt;=0.01,0,ROUND(X326+AH327-N327,2))</f>
        <v>0.0</v>
      </c>
      <c r="Y327" s="31">
        <f>IF(Y326+AI327-O327&lt;=0.01,0,ROUND(Y326+AI327-O327,2))</f>
        <v>0.0</v>
      </c>
      <c r="Z327" s="31">
        <f>IF(Z326+AJ327-P327&lt;=0.01,0,ROUND(Z326+AJ327-P327,2))</f>
        <v>0.0</v>
      </c>
      <c r="AA327" s="31">
        <f>IF(AA326+AK327-Q327&lt;=0.01,0,ROUND(AA326+AK327-Q327,2))</f>
        <v>0.0</v>
      </c>
      <c r="AB327" s="31">
        <f>ROUND(R326*AB$5/1200,2)</f>
        <v>0.0</v>
      </c>
      <c r="AC327" s="31">
        <f>ROUND(S326*AC$5/1200,2)</f>
        <v>0.0</v>
      </c>
      <c r="AD327" s="31">
        <f>ROUND(T326*AD$5/1200,2)</f>
        <v>0.0</v>
      </c>
      <c r="AE327" s="31">
        <f>ROUND(U326*AE$5/1200,2)</f>
        <v>0.0</v>
      </c>
      <c r="AF327" s="31">
        <f>ROUND(V326*AF$5/1200,2)</f>
        <v>0.0</v>
      </c>
      <c r="AG327" s="31">
        <f>ROUND(W326*AG$5/1200,2)</f>
        <v>0.0</v>
      </c>
      <c r="AH327" s="31">
        <f>ROUND(X326*AH$5/1200,2)</f>
        <v>0.0</v>
      </c>
      <c r="AI327" s="31">
        <f>ROUND(Y326*AI$5/1200,2)</f>
        <v>0.0</v>
      </c>
      <c r="AJ327" s="31">
        <f>ROUND(Z326*AJ$5/1200,2)</f>
        <v>0.0</v>
      </c>
      <c r="AK327" s="31">
        <f>ROUND(AA326*AK$5/1200,2)</f>
        <v>0.0</v>
      </c>
      <c r="AL327" s="31">
        <f>MIN(AL$5,R326+AB327)</f>
        <v>0.0</v>
      </c>
      <c r="AM327" s="31">
        <f>MIN(AM$5,S326+AC327)</f>
        <v>0.0</v>
      </c>
      <c r="AN327" s="31">
        <f>MIN(AN$5,T326+AD327)</f>
        <v>0.0</v>
      </c>
      <c r="AO327" s="31">
        <f>MIN(AO$5,U326+AE327)</f>
        <v>0.0</v>
      </c>
      <c r="AP327" s="31">
        <f>MIN(AP$5,V326+AF327)</f>
        <v>0.0</v>
      </c>
      <c r="AQ327" s="31">
        <f>MIN(AQ$5,W326+AG327)</f>
        <v>0.0</v>
      </c>
      <c r="AR327" s="31">
        <f>MIN(AR$5,X326+AH327)</f>
        <v>0.0</v>
      </c>
      <c r="AS327" s="31">
        <f>MIN(AS$5,Y326+AI327)</f>
        <v>0.0</v>
      </c>
      <c r="AT327" s="31">
        <f>MIN(AT$5,Z326+AJ327)</f>
        <v>0.0</v>
      </c>
      <c r="AU327" s="31">
        <f>MIN(AU$5,AA326+AK327)</f>
        <v>0.0</v>
      </c>
    </row>
    <row r="328">
      <c r="A328" s="25" t="str">
        <f>IF(F327&gt;0.005,323,"")</f>
        <v/>
      </c>
      <c r="B328" s="33" t="str">
        <f>IF(A328="","",EDATE(Долги!$D$5,322))</f>
        <v/>
      </c>
      <c r="C328" s="31">
        <f>SUM(H328:Q328)</f>
        <v>0.0</v>
      </c>
      <c r="D328" s="31">
        <f>SUM(AB328:AK328)</f>
        <v>0.0</v>
      </c>
      <c r="E328" s="31">
        <f>C328-D328</f>
        <v>0.0</v>
      </c>
      <c r="F328" s="31">
        <f>SUM(R328:AA328)</f>
        <v>0.0</v>
      </c>
      <c r="G328" s="34" t="str">
        <f>IF(OR(A328="",$F$5&lt;=0),"",REPT("█",ROUND(20*F328/$F$5,0)))</f>
        <v/>
      </c>
      <c r="H328" s="31">
        <f>AL328+MIN(R327+AB328-AL328,MAX(0,ROUND(Долги!$D$19-SUM($AL328:$AU328),2)))</f>
        <v>0.0</v>
      </c>
      <c r="I328" s="31">
        <f>AM328+MIN(S327+AC328-AM328,MAX(0,ROUND(ROUND(Долги!$D$19-SUM($AL328:$AU328),2)-(SUM($H328:H328)-SUM($AL328:AL328)),2)))</f>
        <v>0.0</v>
      </c>
      <c r="J328" s="31">
        <f>AN328+MIN(T327+AD328-AN328,MAX(0,ROUND(ROUND(Долги!$D$19-SUM($AL328:$AU328),2)-(SUM($H328:I328)-SUM($AL328:AM328)),2)))</f>
        <v>0.0</v>
      </c>
      <c r="K328" s="31">
        <f>AO328+MIN(U327+AE328-AO328,MAX(0,ROUND(ROUND(Долги!$D$19-SUM($AL328:$AU328),2)-(SUM($H328:J328)-SUM($AL328:AN328)),2)))</f>
        <v>0.0</v>
      </c>
      <c r="L328" s="31">
        <f>AP328+MIN(V327+AF328-AP328,MAX(0,ROUND(ROUND(Долги!$D$19-SUM($AL328:$AU328),2)-(SUM($H328:K328)-SUM($AL328:AO328)),2)))</f>
        <v>0.0</v>
      </c>
      <c r="M328" s="31">
        <f>AQ328+MIN(W327+AG328-AQ328,MAX(0,ROUND(ROUND(Долги!$D$19-SUM($AL328:$AU328),2)-(SUM($H328:L328)-SUM($AL328:AP328)),2)))</f>
        <v>0.0</v>
      </c>
      <c r="N328" s="31">
        <f>AR328+MIN(X327+AH328-AR328,MAX(0,ROUND(ROUND(Долги!$D$19-SUM($AL328:$AU328),2)-(SUM($H328:M328)-SUM($AL328:AQ328)),2)))</f>
        <v>0.0</v>
      </c>
      <c r="O328" s="31">
        <f>AS328+MIN(Y327+AI328-AS328,MAX(0,ROUND(ROUND(Долги!$D$19-SUM($AL328:$AU328),2)-(SUM($H328:N328)-SUM($AL328:AR328)),2)))</f>
        <v>0.0</v>
      </c>
      <c r="P328" s="31">
        <f>AT328+MIN(Z327+AJ328-AT328,MAX(0,ROUND(ROUND(Долги!$D$19-SUM($AL328:$AU328),2)-(SUM($H328:O328)-SUM($AL328:AS328)),2)))</f>
        <v>0.0</v>
      </c>
      <c r="Q328" s="31">
        <f>AU328+MIN(AA327+AK328-AU328,MAX(0,ROUND(ROUND(Долги!$D$19-SUM($AL328:$AU328),2)-(SUM($H328:P328)-SUM($AL328:AT328)),2)))</f>
        <v>0.0</v>
      </c>
      <c r="R328" s="31">
        <f>IF(R327+AB328-H328&lt;=0.01,0,ROUND(R327+AB328-H328,2))</f>
        <v>0.0</v>
      </c>
      <c r="S328" s="31">
        <f>IF(S327+AC328-I328&lt;=0.01,0,ROUND(S327+AC328-I328,2))</f>
        <v>0.0</v>
      </c>
      <c r="T328" s="31">
        <f>IF(T327+AD328-J328&lt;=0.01,0,ROUND(T327+AD328-J328,2))</f>
        <v>0.0</v>
      </c>
      <c r="U328" s="31">
        <f>IF(U327+AE328-K328&lt;=0.01,0,ROUND(U327+AE328-K328,2))</f>
        <v>0.0</v>
      </c>
      <c r="V328" s="31">
        <f>IF(V327+AF328-L328&lt;=0.01,0,ROUND(V327+AF328-L328,2))</f>
        <v>0.0</v>
      </c>
      <c r="W328" s="31">
        <f>IF(W327+AG328-M328&lt;=0.01,0,ROUND(W327+AG328-M328,2))</f>
        <v>0.0</v>
      </c>
      <c r="X328" s="31">
        <f>IF(X327+AH328-N328&lt;=0.01,0,ROUND(X327+AH328-N328,2))</f>
        <v>0.0</v>
      </c>
      <c r="Y328" s="31">
        <f>IF(Y327+AI328-O328&lt;=0.01,0,ROUND(Y327+AI328-O328,2))</f>
        <v>0.0</v>
      </c>
      <c r="Z328" s="31">
        <f>IF(Z327+AJ328-P328&lt;=0.01,0,ROUND(Z327+AJ328-P328,2))</f>
        <v>0.0</v>
      </c>
      <c r="AA328" s="31">
        <f>IF(AA327+AK328-Q328&lt;=0.01,0,ROUND(AA327+AK328-Q328,2))</f>
        <v>0.0</v>
      </c>
      <c r="AB328" s="31">
        <f>ROUND(R327*AB$5/1200,2)</f>
        <v>0.0</v>
      </c>
      <c r="AC328" s="31">
        <f>ROUND(S327*AC$5/1200,2)</f>
        <v>0.0</v>
      </c>
      <c r="AD328" s="31">
        <f>ROUND(T327*AD$5/1200,2)</f>
        <v>0.0</v>
      </c>
      <c r="AE328" s="31">
        <f>ROUND(U327*AE$5/1200,2)</f>
        <v>0.0</v>
      </c>
      <c r="AF328" s="31">
        <f>ROUND(V327*AF$5/1200,2)</f>
        <v>0.0</v>
      </c>
      <c r="AG328" s="31">
        <f>ROUND(W327*AG$5/1200,2)</f>
        <v>0.0</v>
      </c>
      <c r="AH328" s="31">
        <f>ROUND(X327*AH$5/1200,2)</f>
        <v>0.0</v>
      </c>
      <c r="AI328" s="31">
        <f>ROUND(Y327*AI$5/1200,2)</f>
        <v>0.0</v>
      </c>
      <c r="AJ328" s="31">
        <f>ROUND(Z327*AJ$5/1200,2)</f>
        <v>0.0</v>
      </c>
      <c r="AK328" s="31">
        <f>ROUND(AA327*AK$5/1200,2)</f>
        <v>0.0</v>
      </c>
      <c r="AL328" s="31">
        <f>MIN(AL$5,R327+AB328)</f>
        <v>0.0</v>
      </c>
      <c r="AM328" s="31">
        <f>MIN(AM$5,S327+AC328)</f>
        <v>0.0</v>
      </c>
      <c r="AN328" s="31">
        <f>MIN(AN$5,T327+AD328)</f>
        <v>0.0</v>
      </c>
      <c r="AO328" s="31">
        <f>MIN(AO$5,U327+AE328)</f>
        <v>0.0</v>
      </c>
      <c r="AP328" s="31">
        <f>MIN(AP$5,V327+AF328)</f>
        <v>0.0</v>
      </c>
      <c r="AQ328" s="31">
        <f>MIN(AQ$5,W327+AG328)</f>
        <v>0.0</v>
      </c>
      <c r="AR328" s="31">
        <f>MIN(AR$5,X327+AH328)</f>
        <v>0.0</v>
      </c>
      <c r="AS328" s="31">
        <f>MIN(AS$5,Y327+AI328)</f>
        <v>0.0</v>
      </c>
      <c r="AT328" s="31">
        <f>MIN(AT$5,Z327+AJ328)</f>
        <v>0.0</v>
      </c>
      <c r="AU328" s="31">
        <f>MIN(AU$5,AA327+AK328)</f>
        <v>0.0</v>
      </c>
    </row>
    <row r="329">
      <c r="A329" s="25" t="str">
        <f>IF(F328&gt;0.005,324,"")</f>
        <v/>
      </c>
      <c r="B329" s="33" t="str">
        <f>IF(A329="","",EDATE(Долги!$D$5,323))</f>
        <v/>
      </c>
      <c r="C329" s="31">
        <f>SUM(H329:Q329)</f>
        <v>0.0</v>
      </c>
      <c r="D329" s="31">
        <f>SUM(AB329:AK329)</f>
        <v>0.0</v>
      </c>
      <c r="E329" s="31">
        <f>C329-D329</f>
        <v>0.0</v>
      </c>
      <c r="F329" s="31">
        <f>SUM(R329:AA329)</f>
        <v>0.0</v>
      </c>
      <c r="G329" s="34" t="str">
        <f>IF(OR(A329="",$F$5&lt;=0),"",REPT("█",ROUND(20*F329/$F$5,0)))</f>
        <v/>
      </c>
      <c r="H329" s="31">
        <f>AL329+MIN(R328+AB329-AL329,MAX(0,ROUND(Долги!$D$19-SUM($AL329:$AU329),2)))</f>
        <v>0.0</v>
      </c>
      <c r="I329" s="31">
        <f>AM329+MIN(S328+AC329-AM329,MAX(0,ROUND(ROUND(Долги!$D$19-SUM($AL329:$AU329),2)-(SUM($H329:H329)-SUM($AL329:AL329)),2)))</f>
        <v>0.0</v>
      </c>
      <c r="J329" s="31">
        <f>AN329+MIN(T328+AD329-AN329,MAX(0,ROUND(ROUND(Долги!$D$19-SUM($AL329:$AU329),2)-(SUM($H329:I329)-SUM($AL329:AM329)),2)))</f>
        <v>0.0</v>
      </c>
      <c r="K329" s="31">
        <f>AO329+MIN(U328+AE329-AO329,MAX(0,ROUND(ROUND(Долги!$D$19-SUM($AL329:$AU329),2)-(SUM($H329:J329)-SUM($AL329:AN329)),2)))</f>
        <v>0.0</v>
      </c>
      <c r="L329" s="31">
        <f>AP329+MIN(V328+AF329-AP329,MAX(0,ROUND(ROUND(Долги!$D$19-SUM($AL329:$AU329),2)-(SUM($H329:K329)-SUM($AL329:AO329)),2)))</f>
        <v>0.0</v>
      </c>
      <c r="M329" s="31">
        <f>AQ329+MIN(W328+AG329-AQ329,MAX(0,ROUND(ROUND(Долги!$D$19-SUM($AL329:$AU329),2)-(SUM($H329:L329)-SUM($AL329:AP329)),2)))</f>
        <v>0.0</v>
      </c>
      <c r="N329" s="31">
        <f>AR329+MIN(X328+AH329-AR329,MAX(0,ROUND(ROUND(Долги!$D$19-SUM($AL329:$AU329),2)-(SUM($H329:M329)-SUM($AL329:AQ329)),2)))</f>
        <v>0.0</v>
      </c>
      <c r="O329" s="31">
        <f>AS329+MIN(Y328+AI329-AS329,MAX(0,ROUND(ROUND(Долги!$D$19-SUM($AL329:$AU329),2)-(SUM($H329:N329)-SUM($AL329:AR329)),2)))</f>
        <v>0.0</v>
      </c>
      <c r="P329" s="31">
        <f>AT329+MIN(Z328+AJ329-AT329,MAX(0,ROUND(ROUND(Долги!$D$19-SUM($AL329:$AU329),2)-(SUM($H329:O329)-SUM($AL329:AS329)),2)))</f>
        <v>0.0</v>
      </c>
      <c r="Q329" s="31">
        <f>AU329+MIN(AA328+AK329-AU329,MAX(0,ROUND(ROUND(Долги!$D$19-SUM($AL329:$AU329),2)-(SUM($H329:P329)-SUM($AL329:AT329)),2)))</f>
        <v>0.0</v>
      </c>
      <c r="R329" s="31">
        <f>IF(R328+AB329-H329&lt;=0.01,0,ROUND(R328+AB329-H329,2))</f>
        <v>0.0</v>
      </c>
      <c r="S329" s="31">
        <f>IF(S328+AC329-I329&lt;=0.01,0,ROUND(S328+AC329-I329,2))</f>
        <v>0.0</v>
      </c>
      <c r="T329" s="31">
        <f>IF(T328+AD329-J329&lt;=0.01,0,ROUND(T328+AD329-J329,2))</f>
        <v>0.0</v>
      </c>
      <c r="U329" s="31">
        <f>IF(U328+AE329-K329&lt;=0.01,0,ROUND(U328+AE329-K329,2))</f>
        <v>0.0</v>
      </c>
      <c r="V329" s="31">
        <f>IF(V328+AF329-L329&lt;=0.01,0,ROUND(V328+AF329-L329,2))</f>
        <v>0.0</v>
      </c>
      <c r="W329" s="31">
        <f>IF(W328+AG329-M329&lt;=0.01,0,ROUND(W328+AG329-M329,2))</f>
        <v>0.0</v>
      </c>
      <c r="X329" s="31">
        <f>IF(X328+AH329-N329&lt;=0.01,0,ROUND(X328+AH329-N329,2))</f>
        <v>0.0</v>
      </c>
      <c r="Y329" s="31">
        <f>IF(Y328+AI329-O329&lt;=0.01,0,ROUND(Y328+AI329-O329,2))</f>
        <v>0.0</v>
      </c>
      <c r="Z329" s="31">
        <f>IF(Z328+AJ329-P329&lt;=0.01,0,ROUND(Z328+AJ329-P329,2))</f>
        <v>0.0</v>
      </c>
      <c r="AA329" s="31">
        <f>IF(AA328+AK329-Q329&lt;=0.01,0,ROUND(AA328+AK329-Q329,2))</f>
        <v>0.0</v>
      </c>
      <c r="AB329" s="31">
        <f>ROUND(R328*AB$5/1200,2)</f>
        <v>0.0</v>
      </c>
      <c r="AC329" s="31">
        <f>ROUND(S328*AC$5/1200,2)</f>
        <v>0.0</v>
      </c>
      <c r="AD329" s="31">
        <f>ROUND(T328*AD$5/1200,2)</f>
        <v>0.0</v>
      </c>
      <c r="AE329" s="31">
        <f>ROUND(U328*AE$5/1200,2)</f>
        <v>0.0</v>
      </c>
      <c r="AF329" s="31">
        <f>ROUND(V328*AF$5/1200,2)</f>
        <v>0.0</v>
      </c>
      <c r="AG329" s="31">
        <f>ROUND(W328*AG$5/1200,2)</f>
        <v>0.0</v>
      </c>
      <c r="AH329" s="31">
        <f>ROUND(X328*AH$5/1200,2)</f>
        <v>0.0</v>
      </c>
      <c r="AI329" s="31">
        <f>ROUND(Y328*AI$5/1200,2)</f>
        <v>0.0</v>
      </c>
      <c r="AJ329" s="31">
        <f>ROUND(Z328*AJ$5/1200,2)</f>
        <v>0.0</v>
      </c>
      <c r="AK329" s="31">
        <f>ROUND(AA328*AK$5/1200,2)</f>
        <v>0.0</v>
      </c>
      <c r="AL329" s="31">
        <f>MIN(AL$5,R328+AB329)</f>
        <v>0.0</v>
      </c>
      <c r="AM329" s="31">
        <f>MIN(AM$5,S328+AC329)</f>
        <v>0.0</v>
      </c>
      <c r="AN329" s="31">
        <f>MIN(AN$5,T328+AD329)</f>
        <v>0.0</v>
      </c>
      <c r="AO329" s="31">
        <f>MIN(AO$5,U328+AE329)</f>
        <v>0.0</v>
      </c>
      <c r="AP329" s="31">
        <f>MIN(AP$5,V328+AF329)</f>
        <v>0.0</v>
      </c>
      <c r="AQ329" s="31">
        <f>MIN(AQ$5,W328+AG329)</f>
        <v>0.0</v>
      </c>
      <c r="AR329" s="31">
        <f>MIN(AR$5,X328+AH329)</f>
        <v>0.0</v>
      </c>
      <c r="AS329" s="31">
        <f>MIN(AS$5,Y328+AI329)</f>
        <v>0.0</v>
      </c>
      <c r="AT329" s="31">
        <f>MIN(AT$5,Z328+AJ329)</f>
        <v>0.0</v>
      </c>
      <c r="AU329" s="31">
        <f>MIN(AU$5,AA328+AK329)</f>
        <v>0.0</v>
      </c>
    </row>
    <row r="330">
      <c r="A330" s="25" t="str">
        <f>IF(F329&gt;0.005,325,"")</f>
        <v/>
      </c>
      <c r="B330" s="33" t="str">
        <f>IF(A330="","",EDATE(Долги!$D$5,324))</f>
        <v/>
      </c>
      <c r="C330" s="31">
        <f>SUM(H330:Q330)</f>
        <v>0.0</v>
      </c>
      <c r="D330" s="31">
        <f>SUM(AB330:AK330)</f>
        <v>0.0</v>
      </c>
      <c r="E330" s="31">
        <f>C330-D330</f>
        <v>0.0</v>
      </c>
      <c r="F330" s="31">
        <f>SUM(R330:AA330)</f>
        <v>0.0</v>
      </c>
      <c r="G330" s="34" t="str">
        <f>IF(OR(A330="",$F$5&lt;=0),"",REPT("█",ROUND(20*F330/$F$5,0)))</f>
        <v/>
      </c>
      <c r="H330" s="31">
        <f>AL330+MIN(R329+AB330-AL330,MAX(0,ROUND(Долги!$D$19-SUM($AL330:$AU330),2)))</f>
        <v>0.0</v>
      </c>
      <c r="I330" s="31">
        <f>AM330+MIN(S329+AC330-AM330,MAX(0,ROUND(ROUND(Долги!$D$19-SUM($AL330:$AU330),2)-(SUM($H330:H330)-SUM($AL330:AL330)),2)))</f>
        <v>0.0</v>
      </c>
      <c r="J330" s="31">
        <f>AN330+MIN(T329+AD330-AN330,MAX(0,ROUND(ROUND(Долги!$D$19-SUM($AL330:$AU330),2)-(SUM($H330:I330)-SUM($AL330:AM330)),2)))</f>
        <v>0.0</v>
      </c>
      <c r="K330" s="31">
        <f>AO330+MIN(U329+AE330-AO330,MAX(0,ROUND(ROUND(Долги!$D$19-SUM($AL330:$AU330),2)-(SUM($H330:J330)-SUM($AL330:AN330)),2)))</f>
        <v>0.0</v>
      </c>
      <c r="L330" s="31">
        <f>AP330+MIN(V329+AF330-AP330,MAX(0,ROUND(ROUND(Долги!$D$19-SUM($AL330:$AU330),2)-(SUM($H330:K330)-SUM($AL330:AO330)),2)))</f>
        <v>0.0</v>
      </c>
      <c r="M330" s="31">
        <f>AQ330+MIN(W329+AG330-AQ330,MAX(0,ROUND(ROUND(Долги!$D$19-SUM($AL330:$AU330),2)-(SUM($H330:L330)-SUM($AL330:AP330)),2)))</f>
        <v>0.0</v>
      </c>
      <c r="N330" s="31">
        <f>AR330+MIN(X329+AH330-AR330,MAX(0,ROUND(ROUND(Долги!$D$19-SUM($AL330:$AU330),2)-(SUM($H330:M330)-SUM($AL330:AQ330)),2)))</f>
        <v>0.0</v>
      </c>
      <c r="O330" s="31">
        <f>AS330+MIN(Y329+AI330-AS330,MAX(0,ROUND(ROUND(Долги!$D$19-SUM($AL330:$AU330),2)-(SUM($H330:N330)-SUM($AL330:AR330)),2)))</f>
        <v>0.0</v>
      </c>
      <c r="P330" s="31">
        <f>AT330+MIN(Z329+AJ330-AT330,MAX(0,ROUND(ROUND(Долги!$D$19-SUM($AL330:$AU330),2)-(SUM($H330:O330)-SUM($AL330:AS330)),2)))</f>
        <v>0.0</v>
      </c>
      <c r="Q330" s="31">
        <f>AU330+MIN(AA329+AK330-AU330,MAX(0,ROUND(ROUND(Долги!$D$19-SUM($AL330:$AU330),2)-(SUM($H330:P330)-SUM($AL330:AT330)),2)))</f>
        <v>0.0</v>
      </c>
      <c r="R330" s="31">
        <f>IF(R329+AB330-H330&lt;=0.01,0,ROUND(R329+AB330-H330,2))</f>
        <v>0.0</v>
      </c>
      <c r="S330" s="31">
        <f>IF(S329+AC330-I330&lt;=0.01,0,ROUND(S329+AC330-I330,2))</f>
        <v>0.0</v>
      </c>
      <c r="T330" s="31">
        <f>IF(T329+AD330-J330&lt;=0.01,0,ROUND(T329+AD330-J330,2))</f>
        <v>0.0</v>
      </c>
      <c r="U330" s="31">
        <f>IF(U329+AE330-K330&lt;=0.01,0,ROUND(U329+AE330-K330,2))</f>
        <v>0.0</v>
      </c>
      <c r="V330" s="31">
        <f>IF(V329+AF330-L330&lt;=0.01,0,ROUND(V329+AF330-L330,2))</f>
        <v>0.0</v>
      </c>
      <c r="W330" s="31">
        <f>IF(W329+AG330-M330&lt;=0.01,0,ROUND(W329+AG330-M330,2))</f>
        <v>0.0</v>
      </c>
      <c r="X330" s="31">
        <f>IF(X329+AH330-N330&lt;=0.01,0,ROUND(X329+AH330-N330,2))</f>
        <v>0.0</v>
      </c>
      <c r="Y330" s="31">
        <f>IF(Y329+AI330-O330&lt;=0.01,0,ROUND(Y329+AI330-O330,2))</f>
        <v>0.0</v>
      </c>
      <c r="Z330" s="31">
        <f>IF(Z329+AJ330-P330&lt;=0.01,0,ROUND(Z329+AJ330-P330,2))</f>
        <v>0.0</v>
      </c>
      <c r="AA330" s="31">
        <f>IF(AA329+AK330-Q330&lt;=0.01,0,ROUND(AA329+AK330-Q330,2))</f>
        <v>0.0</v>
      </c>
      <c r="AB330" s="31">
        <f>ROUND(R329*AB$5/1200,2)</f>
        <v>0.0</v>
      </c>
      <c r="AC330" s="31">
        <f>ROUND(S329*AC$5/1200,2)</f>
        <v>0.0</v>
      </c>
      <c r="AD330" s="31">
        <f>ROUND(T329*AD$5/1200,2)</f>
        <v>0.0</v>
      </c>
      <c r="AE330" s="31">
        <f>ROUND(U329*AE$5/1200,2)</f>
        <v>0.0</v>
      </c>
      <c r="AF330" s="31">
        <f>ROUND(V329*AF$5/1200,2)</f>
        <v>0.0</v>
      </c>
      <c r="AG330" s="31">
        <f>ROUND(W329*AG$5/1200,2)</f>
        <v>0.0</v>
      </c>
      <c r="AH330" s="31">
        <f>ROUND(X329*AH$5/1200,2)</f>
        <v>0.0</v>
      </c>
      <c r="AI330" s="31">
        <f>ROUND(Y329*AI$5/1200,2)</f>
        <v>0.0</v>
      </c>
      <c r="AJ330" s="31">
        <f>ROUND(Z329*AJ$5/1200,2)</f>
        <v>0.0</v>
      </c>
      <c r="AK330" s="31">
        <f>ROUND(AA329*AK$5/1200,2)</f>
        <v>0.0</v>
      </c>
      <c r="AL330" s="31">
        <f>MIN(AL$5,R329+AB330)</f>
        <v>0.0</v>
      </c>
      <c r="AM330" s="31">
        <f>MIN(AM$5,S329+AC330)</f>
        <v>0.0</v>
      </c>
      <c r="AN330" s="31">
        <f>MIN(AN$5,T329+AD330)</f>
        <v>0.0</v>
      </c>
      <c r="AO330" s="31">
        <f>MIN(AO$5,U329+AE330)</f>
        <v>0.0</v>
      </c>
      <c r="AP330" s="31">
        <f>MIN(AP$5,V329+AF330)</f>
        <v>0.0</v>
      </c>
      <c r="AQ330" s="31">
        <f>MIN(AQ$5,W329+AG330)</f>
        <v>0.0</v>
      </c>
      <c r="AR330" s="31">
        <f>MIN(AR$5,X329+AH330)</f>
        <v>0.0</v>
      </c>
      <c r="AS330" s="31">
        <f>MIN(AS$5,Y329+AI330)</f>
        <v>0.0</v>
      </c>
      <c r="AT330" s="31">
        <f>MIN(AT$5,Z329+AJ330)</f>
        <v>0.0</v>
      </c>
      <c r="AU330" s="31">
        <f>MIN(AU$5,AA329+AK330)</f>
        <v>0.0</v>
      </c>
    </row>
    <row r="331">
      <c r="A331" s="25" t="str">
        <f>IF(F330&gt;0.005,326,"")</f>
        <v/>
      </c>
      <c r="B331" s="33" t="str">
        <f>IF(A331="","",EDATE(Долги!$D$5,325))</f>
        <v/>
      </c>
      <c r="C331" s="31">
        <f>SUM(H331:Q331)</f>
        <v>0.0</v>
      </c>
      <c r="D331" s="31">
        <f>SUM(AB331:AK331)</f>
        <v>0.0</v>
      </c>
      <c r="E331" s="31">
        <f>C331-D331</f>
        <v>0.0</v>
      </c>
      <c r="F331" s="31">
        <f>SUM(R331:AA331)</f>
        <v>0.0</v>
      </c>
      <c r="G331" s="34" t="str">
        <f>IF(OR(A331="",$F$5&lt;=0),"",REPT("█",ROUND(20*F331/$F$5,0)))</f>
        <v/>
      </c>
      <c r="H331" s="31">
        <f>AL331+MIN(R330+AB331-AL331,MAX(0,ROUND(Долги!$D$19-SUM($AL331:$AU331),2)))</f>
        <v>0.0</v>
      </c>
      <c r="I331" s="31">
        <f>AM331+MIN(S330+AC331-AM331,MAX(0,ROUND(ROUND(Долги!$D$19-SUM($AL331:$AU331),2)-(SUM($H331:H331)-SUM($AL331:AL331)),2)))</f>
        <v>0.0</v>
      </c>
      <c r="J331" s="31">
        <f>AN331+MIN(T330+AD331-AN331,MAX(0,ROUND(ROUND(Долги!$D$19-SUM($AL331:$AU331),2)-(SUM($H331:I331)-SUM($AL331:AM331)),2)))</f>
        <v>0.0</v>
      </c>
      <c r="K331" s="31">
        <f>AO331+MIN(U330+AE331-AO331,MAX(0,ROUND(ROUND(Долги!$D$19-SUM($AL331:$AU331),2)-(SUM($H331:J331)-SUM($AL331:AN331)),2)))</f>
        <v>0.0</v>
      </c>
      <c r="L331" s="31">
        <f>AP331+MIN(V330+AF331-AP331,MAX(0,ROUND(ROUND(Долги!$D$19-SUM($AL331:$AU331),2)-(SUM($H331:K331)-SUM($AL331:AO331)),2)))</f>
        <v>0.0</v>
      </c>
      <c r="M331" s="31">
        <f>AQ331+MIN(W330+AG331-AQ331,MAX(0,ROUND(ROUND(Долги!$D$19-SUM($AL331:$AU331),2)-(SUM($H331:L331)-SUM($AL331:AP331)),2)))</f>
        <v>0.0</v>
      </c>
      <c r="N331" s="31">
        <f>AR331+MIN(X330+AH331-AR331,MAX(0,ROUND(ROUND(Долги!$D$19-SUM($AL331:$AU331),2)-(SUM($H331:M331)-SUM($AL331:AQ331)),2)))</f>
        <v>0.0</v>
      </c>
      <c r="O331" s="31">
        <f>AS331+MIN(Y330+AI331-AS331,MAX(0,ROUND(ROUND(Долги!$D$19-SUM($AL331:$AU331),2)-(SUM($H331:N331)-SUM($AL331:AR331)),2)))</f>
        <v>0.0</v>
      </c>
      <c r="P331" s="31">
        <f>AT331+MIN(Z330+AJ331-AT331,MAX(0,ROUND(ROUND(Долги!$D$19-SUM($AL331:$AU331),2)-(SUM($H331:O331)-SUM($AL331:AS331)),2)))</f>
        <v>0.0</v>
      </c>
      <c r="Q331" s="31">
        <f>AU331+MIN(AA330+AK331-AU331,MAX(0,ROUND(ROUND(Долги!$D$19-SUM($AL331:$AU331),2)-(SUM($H331:P331)-SUM($AL331:AT331)),2)))</f>
        <v>0.0</v>
      </c>
      <c r="R331" s="31">
        <f>IF(R330+AB331-H331&lt;=0.01,0,ROUND(R330+AB331-H331,2))</f>
        <v>0.0</v>
      </c>
      <c r="S331" s="31">
        <f>IF(S330+AC331-I331&lt;=0.01,0,ROUND(S330+AC331-I331,2))</f>
        <v>0.0</v>
      </c>
      <c r="T331" s="31">
        <f>IF(T330+AD331-J331&lt;=0.01,0,ROUND(T330+AD331-J331,2))</f>
        <v>0.0</v>
      </c>
      <c r="U331" s="31">
        <f>IF(U330+AE331-K331&lt;=0.01,0,ROUND(U330+AE331-K331,2))</f>
        <v>0.0</v>
      </c>
      <c r="V331" s="31">
        <f>IF(V330+AF331-L331&lt;=0.01,0,ROUND(V330+AF331-L331,2))</f>
        <v>0.0</v>
      </c>
      <c r="W331" s="31">
        <f>IF(W330+AG331-M331&lt;=0.01,0,ROUND(W330+AG331-M331,2))</f>
        <v>0.0</v>
      </c>
      <c r="X331" s="31">
        <f>IF(X330+AH331-N331&lt;=0.01,0,ROUND(X330+AH331-N331,2))</f>
        <v>0.0</v>
      </c>
      <c r="Y331" s="31">
        <f>IF(Y330+AI331-O331&lt;=0.01,0,ROUND(Y330+AI331-O331,2))</f>
        <v>0.0</v>
      </c>
      <c r="Z331" s="31">
        <f>IF(Z330+AJ331-P331&lt;=0.01,0,ROUND(Z330+AJ331-P331,2))</f>
        <v>0.0</v>
      </c>
      <c r="AA331" s="31">
        <f>IF(AA330+AK331-Q331&lt;=0.01,0,ROUND(AA330+AK331-Q331,2))</f>
        <v>0.0</v>
      </c>
      <c r="AB331" s="31">
        <f>ROUND(R330*AB$5/1200,2)</f>
        <v>0.0</v>
      </c>
      <c r="AC331" s="31">
        <f>ROUND(S330*AC$5/1200,2)</f>
        <v>0.0</v>
      </c>
      <c r="AD331" s="31">
        <f>ROUND(T330*AD$5/1200,2)</f>
        <v>0.0</v>
      </c>
      <c r="AE331" s="31">
        <f>ROUND(U330*AE$5/1200,2)</f>
        <v>0.0</v>
      </c>
      <c r="AF331" s="31">
        <f>ROUND(V330*AF$5/1200,2)</f>
        <v>0.0</v>
      </c>
      <c r="AG331" s="31">
        <f>ROUND(W330*AG$5/1200,2)</f>
        <v>0.0</v>
      </c>
      <c r="AH331" s="31">
        <f>ROUND(X330*AH$5/1200,2)</f>
        <v>0.0</v>
      </c>
      <c r="AI331" s="31">
        <f>ROUND(Y330*AI$5/1200,2)</f>
        <v>0.0</v>
      </c>
      <c r="AJ331" s="31">
        <f>ROUND(Z330*AJ$5/1200,2)</f>
        <v>0.0</v>
      </c>
      <c r="AK331" s="31">
        <f>ROUND(AA330*AK$5/1200,2)</f>
        <v>0.0</v>
      </c>
      <c r="AL331" s="31">
        <f>MIN(AL$5,R330+AB331)</f>
        <v>0.0</v>
      </c>
      <c r="AM331" s="31">
        <f>MIN(AM$5,S330+AC331)</f>
        <v>0.0</v>
      </c>
      <c r="AN331" s="31">
        <f>MIN(AN$5,T330+AD331)</f>
        <v>0.0</v>
      </c>
      <c r="AO331" s="31">
        <f>MIN(AO$5,U330+AE331)</f>
        <v>0.0</v>
      </c>
      <c r="AP331" s="31">
        <f>MIN(AP$5,V330+AF331)</f>
        <v>0.0</v>
      </c>
      <c r="AQ331" s="31">
        <f>MIN(AQ$5,W330+AG331)</f>
        <v>0.0</v>
      </c>
      <c r="AR331" s="31">
        <f>MIN(AR$5,X330+AH331)</f>
        <v>0.0</v>
      </c>
      <c r="AS331" s="31">
        <f>MIN(AS$5,Y330+AI331)</f>
        <v>0.0</v>
      </c>
      <c r="AT331" s="31">
        <f>MIN(AT$5,Z330+AJ331)</f>
        <v>0.0</v>
      </c>
      <c r="AU331" s="31">
        <f>MIN(AU$5,AA330+AK331)</f>
        <v>0.0</v>
      </c>
    </row>
    <row r="332">
      <c r="A332" s="25" t="str">
        <f>IF(F331&gt;0.005,327,"")</f>
        <v/>
      </c>
      <c r="B332" s="33" t="str">
        <f>IF(A332="","",EDATE(Долги!$D$5,326))</f>
        <v/>
      </c>
      <c r="C332" s="31">
        <f>SUM(H332:Q332)</f>
        <v>0.0</v>
      </c>
      <c r="D332" s="31">
        <f>SUM(AB332:AK332)</f>
        <v>0.0</v>
      </c>
      <c r="E332" s="31">
        <f>C332-D332</f>
        <v>0.0</v>
      </c>
      <c r="F332" s="31">
        <f>SUM(R332:AA332)</f>
        <v>0.0</v>
      </c>
      <c r="G332" s="34" t="str">
        <f>IF(OR(A332="",$F$5&lt;=0),"",REPT("█",ROUND(20*F332/$F$5,0)))</f>
        <v/>
      </c>
      <c r="H332" s="31">
        <f>AL332+MIN(R331+AB332-AL332,MAX(0,ROUND(Долги!$D$19-SUM($AL332:$AU332),2)))</f>
        <v>0.0</v>
      </c>
      <c r="I332" s="31">
        <f>AM332+MIN(S331+AC332-AM332,MAX(0,ROUND(ROUND(Долги!$D$19-SUM($AL332:$AU332),2)-(SUM($H332:H332)-SUM($AL332:AL332)),2)))</f>
        <v>0.0</v>
      </c>
      <c r="J332" s="31">
        <f>AN332+MIN(T331+AD332-AN332,MAX(0,ROUND(ROUND(Долги!$D$19-SUM($AL332:$AU332),2)-(SUM($H332:I332)-SUM($AL332:AM332)),2)))</f>
        <v>0.0</v>
      </c>
      <c r="K332" s="31">
        <f>AO332+MIN(U331+AE332-AO332,MAX(0,ROUND(ROUND(Долги!$D$19-SUM($AL332:$AU332),2)-(SUM($H332:J332)-SUM($AL332:AN332)),2)))</f>
        <v>0.0</v>
      </c>
      <c r="L332" s="31">
        <f>AP332+MIN(V331+AF332-AP332,MAX(0,ROUND(ROUND(Долги!$D$19-SUM($AL332:$AU332),2)-(SUM($H332:K332)-SUM($AL332:AO332)),2)))</f>
        <v>0.0</v>
      </c>
      <c r="M332" s="31">
        <f>AQ332+MIN(W331+AG332-AQ332,MAX(0,ROUND(ROUND(Долги!$D$19-SUM($AL332:$AU332),2)-(SUM($H332:L332)-SUM($AL332:AP332)),2)))</f>
        <v>0.0</v>
      </c>
      <c r="N332" s="31">
        <f>AR332+MIN(X331+AH332-AR332,MAX(0,ROUND(ROUND(Долги!$D$19-SUM($AL332:$AU332),2)-(SUM($H332:M332)-SUM($AL332:AQ332)),2)))</f>
        <v>0.0</v>
      </c>
      <c r="O332" s="31">
        <f>AS332+MIN(Y331+AI332-AS332,MAX(0,ROUND(ROUND(Долги!$D$19-SUM($AL332:$AU332),2)-(SUM($H332:N332)-SUM($AL332:AR332)),2)))</f>
        <v>0.0</v>
      </c>
      <c r="P332" s="31">
        <f>AT332+MIN(Z331+AJ332-AT332,MAX(0,ROUND(ROUND(Долги!$D$19-SUM($AL332:$AU332),2)-(SUM($H332:O332)-SUM($AL332:AS332)),2)))</f>
        <v>0.0</v>
      </c>
      <c r="Q332" s="31">
        <f>AU332+MIN(AA331+AK332-AU332,MAX(0,ROUND(ROUND(Долги!$D$19-SUM($AL332:$AU332),2)-(SUM($H332:P332)-SUM($AL332:AT332)),2)))</f>
        <v>0.0</v>
      </c>
      <c r="R332" s="31">
        <f>IF(R331+AB332-H332&lt;=0.01,0,ROUND(R331+AB332-H332,2))</f>
        <v>0.0</v>
      </c>
      <c r="S332" s="31">
        <f>IF(S331+AC332-I332&lt;=0.01,0,ROUND(S331+AC332-I332,2))</f>
        <v>0.0</v>
      </c>
      <c r="T332" s="31">
        <f>IF(T331+AD332-J332&lt;=0.01,0,ROUND(T331+AD332-J332,2))</f>
        <v>0.0</v>
      </c>
      <c r="U332" s="31">
        <f>IF(U331+AE332-K332&lt;=0.01,0,ROUND(U331+AE332-K332,2))</f>
        <v>0.0</v>
      </c>
      <c r="V332" s="31">
        <f>IF(V331+AF332-L332&lt;=0.01,0,ROUND(V331+AF332-L332,2))</f>
        <v>0.0</v>
      </c>
      <c r="W332" s="31">
        <f>IF(W331+AG332-M332&lt;=0.01,0,ROUND(W331+AG332-M332,2))</f>
        <v>0.0</v>
      </c>
      <c r="X332" s="31">
        <f>IF(X331+AH332-N332&lt;=0.01,0,ROUND(X331+AH332-N332,2))</f>
        <v>0.0</v>
      </c>
      <c r="Y332" s="31">
        <f>IF(Y331+AI332-O332&lt;=0.01,0,ROUND(Y331+AI332-O332,2))</f>
        <v>0.0</v>
      </c>
      <c r="Z332" s="31">
        <f>IF(Z331+AJ332-P332&lt;=0.01,0,ROUND(Z331+AJ332-P332,2))</f>
        <v>0.0</v>
      </c>
      <c r="AA332" s="31">
        <f>IF(AA331+AK332-Q332&lt;=0.01,0,ROUND(AA331+AK332-Q332,2))</f>
        <v>0.0</v>
      </c>
      <c r="AB332" s="31">
        <f>ROUND(R331*AB$5/1200,2)</f>
        <v>0.0</v>
      </c>
      <c r="AC332" s="31">
        <f>ROUND(S331*AC$5/1200,2)</f>
        <v>0.0</v>
      </c>
      <c r="AD332" s="31">
        <f>ROUND(T331*AD$5/1200,2)</f>
        <v>0.0</v>
      </c>
      <c r="AE332" s="31">
        <f>ROUND(U331*AE$5/1200,2)</f>
        <v>0.0</v>
      </c>
      <c r="AF332" s="31">
        <f>ROUND(V331*AF$5/1200,2)</f>
        <v>0.0</v>
      </c>
      <c r="AG332" s="31">
        <f>ROUND(W331*AG$5/1200,2)</f>
        <v>0.0</v>
      </c>
      <c r="AH332" s="31">
        <f>ROUND(X331*AH$5/1200,2)</f>
        <v>0.0</v>
      </c>
      <c r="AI332" s="31">
        <f>ROUND(Y331*AI$5/1200,2)</f>
        <v>0.0</v>
      </c>
      <c r="AJ332" s="31">
        <f>ROUND(Z331*AJ$5/1200,2)</f>
        <v>0.0</v>
      </c>
      <c r="AK332" s="31">
        <f>ROUND(AA331*AK$5/1200,2)</f>
        <v>0.0</v>
      </c>
      <c r="AL332" s="31">
        <f>MIN(AL$5,R331+AB332)</f>
        <v>0.0</v>
      </c>
      <c r="AM332" s="31">
        <f>MIN(AM$5,S331+AC332)</f>
        <v>0.0</v>
      </c>
      <c r="AN332" s="31">
        <f>MIN(AN$5,T331+AD332)</f>
        <v>0.0</v>
      </c>
      <c r="AO332" s="31">
        <f>MIN(AO$5,U331+AE332)</f>
        <v>0.0</v>
      </c>
      <c r="AP332" s="31">
        <f>MIN(AP$5,V331+AF332)</f>
        <v>0.0</v>
      </c>
      <c r="AQ332" s="31">
        <f>MIN(AQ$5,W331+AG332)</f>
        <v>0.0</v>
      </c>
      <c r="AR332" s="31">
        <f>MIN(AR$5,X331+AH332)</f>
        <v>0.0</v>
      </c>
      <c r="AS332" s="31">
        <f>MIN(AS$5,Y331+AI332)</f>
        <v>0.0</v>
      </c>
      <c r="AT332" s="31">
        <f>MIN(AT$5,Z331+AJ332)</f>
        <v>0.0</v>
      </c>
      <c r="AU332" s="31">
        <f>MIN(AU$5,AA331+AK332)</f>
        <v>0.0</v>
      </c>
    </row>
    <row r="333">
      <c r="A333" s="25" t="str">
        <f>IF(F332&gt;0.005,328,"")</f>
        <v/>
      </c>
      <c r="B333" s="33" t="str">
        <f>IF(A333="","",EDATE(Долги!$D$5,327))</f>
        <v/>
      </c>
      <c r="C333" s="31">
        <f>SUM(H333:Q333)</f>
        <v>0.0</v>
      </c>
      <c r="D333" s="31">
        <f>SUM(AB333:AK333)</f>
        <v>0.0</v>
      </c>
      <c r="E333" s="31">
        <f>C333-D333</f>
        <v>0.0</v>
      </c>
      <c r="F333" s="31">
        <f>SUM(R333:AA333)</f>
        <v>0.0</v>
      </c>
      <c r="G333" s="34" t="str">
        <f>IF(OR(A333="",$F$5&lt;=0),"",REPT("█",ROUND(20*F333/$F$5,0)))</f>
        <v/>
      </c>
      <c r="H333" s="31">
        <f>AL333+MIN(R332+AB333-AL333,MAX(0,ROUND(Долги!$D$19-SUM($AL333:$AU333),2)))</f>
        <v>0.0</v>
      </c>
      <c r="I333" s="31">
        <f>AM333+MIN(S332+AC333-AM333,MAX(0,ROUND(ROUND(Долги!$D$19-SUM($AL333:$AU333),2)-(SUM($H333:H333)-SUM($AL333:AL333)),2)))</f>
        <v>0.0</v>
      </c>
      <c r="J333" s="31">
        <f>AN333+MIN(T332+AD333-AN333,MAX(0,ROUND(ROUND(Долги!$D$19-SUM($AL333:$AU333),2)-(SUM($H333:I333)-SUM($AL333:AM333)),2)))</f>
        <v>0.0</v>
      </c>
      <c r="K333" s="31">
        <f>AO333+MIN(U332+AE333-AO333,MAX(0,ROUND(ROUND(Долги!$D$19-SUM($AL333:$AU333),2)-(SUM($H333:J333)-SUM($AL333:AN333)),2)))</f>
        <v>0.0</v>
      </c>
      <c r="L333" s="31">
        <f>AP333+MIN(V332+AF333-AP333,MAX(0,ROUND(ROUND(Долги!$D$19-SUM($AL333:$AU333),2)-(SUM($H333:K333)-SUM($AL333:AO333)),2)))</f>
        <v>0.0</v>
      </c>
      <c r="M333" s="31">
        <f>AQ333+MIN(W332+AG333-AQ333,MAX(0,ROUND(ROUND(Долги!$D$19-SUM($AL333:$AU333),2)-(SUM($H333:L333)-SUM($AL333:AP333)),2)))</f>
        <v>0.0</v>
      </c>
      <c r="N333" s="31">
        <f>AR333+MIN(X332+AH333-AR333,MAX(0,ROUND(ROUND(Долги!$D$19-SUM($AL333:$AU333),2)-(SUM($H333:M333)-SUM($AL333:AQ333)),2)))</f>
        <v>0.0</v>
      </c>
      <c r="O333" s="31">
        <f>AS333+MIN(Y332+AI333-AS333,MAX(0,ROUND(ROUND(Долги!$D$19-SUM($AL333:$AU333),2)-(SUM($H333:N333)-SUM($AL333:AR333)),2)))</f>
        <v>0.0</v>
      </c>
      <c r="P333" s="31">
        <f>AT333+MIN(Z332+AJ333-AT333,MAX(0,ROUND(ROUND(Долги!$D$19-SUM($AL333:$AU333),2)-(SUM($H333:O333)-SUM($AL333:AS333)),2)))</f>
        <v>0.0</v>
      </c>
      <c r="Q333" s="31">
        <f>AU333+MIN(AA332+AK333-AU333,MAX(0,ROUND(ROUND(Долги!$D$19-SUM($AL333:$AU333),2)-(SUM($H333:P333)-SUM($AL333:AT333)),2)))</f>
        <v>0.0</v>
      </c>
      <c r="R333" s="31">
        <f>IF(R332+AB333-H333&lt;=0.01,0,ROUND(R332+AB333-H333,2))</f>
        <v>0.0</v>
      </c>
      <c r="S333" s="31">
        <f>IF(S332+AC333-I333&lt;=0.01,0,ROUND(S332+AC333-I333,2))</f>
        <v>0.0</v>
      </c>
      <c r="T333" s="31">
        <f>IF(T332+AD333-J333&lt;=0.01,0,ROUND(T332+AD333-J333,2))</f>
        <v>0.0</v>
      </c>
      <c r="U333" s="31">
        <f>IF(U332+AE333-K333&lt;=0.01,0,ROUND(U332+AE333-K333,2))</f>
        <v>0.0</v>
      </c>
      <c r="V333" s="31">
        <f>IF(V332+AF333-L333&lt;=0.01,0,ROUND(V332+AF333-L333,2))</f>
        <v>0.0</v>
      </c>
      <c r="W333" s="31">
        <f>IF(W332+AG333-M333&lt;=0.01,0,ROUND(W332+AG333-M333,2))</f>
        <v>0.0</v>
      </c>
      <c r="X333" s="31">
        <f>IF(X332+AH333-N333&lt;=0.01,0,ROUND(X332+AH333-N333,2))</f>
        <v>0.0</v>
      </c>
      <c r="Y333" s="31">
        <f>IF(Y332+AI333-O333&lt;=0.01,0,ROUND(Y332+AI333-O333,2))</f>
        <v>0.0</v>
      </c>
      <c r="Z333" s="31">
        <f>IF(Z332+AJ333-P333&lt;=0.01,0,ROUND(Z332+AJ333-P333,2))</f>
        <v>0.0</v>
      </c>
      <c r="AA333" s="31">
        <f>IF(AA332+AK333-Q333&lt;=0.01,0,ROUND(AA332+AK333-Q333,2))</f>
        <v>0.0</v>
      </c>
      <c r="AB333" s="31">
        <f>ROUND(R332*AB$5/1200,2)</f>
        <v>0.0</v>
      </c>
      <c r="AC333" s="31">
        <f>ROUND(S332*AC$5/1200,2)</f>
        <v>0.0</v>
      </c>
      <c r="AD333" s="31">
        <f>ROUND(T332*AD$5/1200,2)</f>
        <v>0.0</v>
      </c>
      <c r="AE333" s="31">
        <f>ROUND(U332*AE$5/1200,2)</f>
        <v>0.0</v>
      </c>
      <c r="AF333" s="31">
        <f>ROUND(V332*AF$5/1200,2)</f>
        <v>0.0</v>
      </c>
      <c r="AG333" s="31">
        <f>ROUND(W332*AG$5/1200,2)</f>
        <v>0.0</v>
      </c>
      <c r="AH333" s="31">
        <f>ROUND(X332*AH$5/1200,2)</f>
        <v>0.0</v>
      </c>
      <c r="AI333" s="31">
        <f>ROUND(Y332*AI$5/1200,2)</f>
        <v>0.0</v>
      </c>
      <c r="AJ333" s="31">
        <f>ROUND(Z332*AJ$5/1200,2)</f>
        <v>0.0</v>
      </c>
      <c r="AK333" s="31">
        <f>ROUND(AA332*AK$5/1200,2)</f>
        <v>0.0</v>
      </c>
      <c r="AL333" s="31">
        <f>MIN(AL$5,R332+AB333)</f>
        <v>0.0</v>
      </c>
      <c r="AM333" s="31">
        <f>MIN(AM$5,S332+AC333)</f>
        <v>0.0</v>
      </c>
      <c r="AN333" s="31">
        <f>MIN(AN$5,T332+AD333)</f>
        <v>0.0</v>
      </c>
      <c r="AO333" s="31">
        <f>MIN(AO$5,U332+AE333)</f>
        <v>0.0</v>
      </c>
      <c r="AP333" s="31">
        <f>MIN(AP$5,V332+AF333)</f>
        <v>0.0</v>
      </c>
      <c r="AQ333" s="31">
        <f>MIN(AQ$5,W332+AG333)</f>
        <v>0.0</v>
      </c>
      <c r="AR333" s="31">
        <f>MIN(AR$5,X332+AH333)</f>
        <v>0.0</v>
      </c>
      <c r="AS333" s="31">
        <f>MIN(AS$5,Y332+AI333)</f>
        <v>0.0</v>
      </c>
      <c r="AT333" s="31">
        <f>MIN(AT$5,Z332+AJ333)</f>
        <v>0.0</v>
      </c>
      <c r="AU333" s="31">
        <f>MIN(AU$5,AA332+AK333)</f>
        <v>0.0</v>
      </c>
    </row>
    <row r="334">
      <c r="A334" s="25" t="str">
        <f>IF(F333&gt;0.005,329,"")</f>
        <v/>
      </c>
      <c r="B334" s="33" t="str">
        <f>IF(A334="","",EDATE(Долги!$D$5,328))</f>
        <v/>
      </c>
      <c r="C334" s="31">
        <f>SUM(H334:Q334)</f>
        <v>0.0</v>
      </c>
      <c r="D334" s="31">
        <f>SUM(AB334:AK334)</f>
        <v>0.0</v>
      </c>
      <c r="E334" s="31">
        <f>C334-D334</f>
        <v>0.0</v>
      </c>
      <c r="F334" s="31">
        <f>SUM(R334:AA334)</f>
        <v>0.0</v>
      </c>
      <c r="G334" s="34" t="str">
        <f>IF(OR(A334="",$F$5&lt;=0),"",REPT("█",ROUND(20*F334/$F$5,0)))</f>
        <v/>
      </c>
      <c r="H334" s="31">
        <f>AL334+MIN(R333+AB334-AL334,MAX(0,ROUND(Долги!$D$19-SUM($AL334:$AU334),2)))</f>
        <v>0.0</v>
      </c>
      <c r="I334" s="31">
        <f>AM334+MIN(S333+AC334-AM334,MAX(0,ROUND(ROUND(Долги!$D$19-SUM($AL334:$AU334),2)-(SUM($H334:H334)-SUM($AL334:AL334)),2)))</f>
        <v>0.0</v>
      </c>
      <c r="J334" s="31">
        <f>AN334+MIN(T333+AD334-AN334,MAX(0,ROUND(ROUND(Долги!$D$19-SUM($AL334:$AU334),2)-(SUM($H334:I334)-SUM($AL334:AM334)),2)))</f>
        <v>0.0</v>
      </c>
      <c r="K334" s="31">
        <f>AO334+MIN(U333+AE334-AO334,MAX(0,ROUND(ROUND(Долги!$D$19-SUM($AL334:$AU334),2)-(SUM($H334:J334)-SUM($AL334:AN334)),2)))</f>
        <v>0.0</v>
      </c>
      <c r="L334" s="31">
        <f>AP334+MIN(V333+AF334-AP334,MAX(0,ROUND(ROUND(Долги!$D$19-SUM($AL334:$AU334),2)-(SUM($H334:K334)-SUM($AL334:AO334)),2)))</f>
        <v>0.0</v>
      </c>
      <c r="M334" s="31">
        <f>AQ334+MIN(W333+AG334-AQ334,MAX(0,ROUND(ROUND(Долги!$D$19-SUM($AL334:$AU334),2)-(SUM($H334:L334)-SUM($AL334:AP334)),2)))</f>
        <v>0.0</v>
      </c>
      <c r="N334" s="31">
        <f>AR334+MIN(X333+AH334-AR334,MAX(0,ROUND(ROUND(Долги!$D$19-SUM($AL334:$AU334),2)-(SUM($H334:M334)-SUM($AL334:AQ334)),2)))</f>
        <v>0.0</v>
      </c>
      <c r="O334" s="31">
        <f>AS334+MIN(Y333+AI334-AS334,MAX(0,ROUND(ROUND(Долги!$D$19-SUM($AL334:$AU334),2)-(SUM($H334:N334)-SUM($AL334:AR334)),2)))</f>
        <v>0.0</v>
      </c>
      <c r="P334" s="31">
        <f>AT334+MIN(Z333+AJ334-AT334,MAX(0,ROUND(ROUND(Долги!$D$19-SUM($AL334:$AU334),2)-(SUM($H334:O334)-SUM($AL334:AS334)),2)))</f>
        <v>0.0</v>
      </c>
      <c r="Q334" s="31">
        <f>AU334+MIN(AA333+AK334-AU334,MAX(0,ROUND(ROUND(Долги!$D$19-SUM($AL334:$AU334),2)-(SUM($H334:P334)-SUM($AL334:AT334)),2)))</f>
        <v>0.0</v>
      </c>
      <c r="R334" s="31">
        <f>IF(R333+AB334-H334&lt;=0.01,0,ROUND(R333+AB334-H334,2))</f>
        <v>0.0</v>
      </c>
      <c r="S334" s="31">
        <f>IF(S333+AC334-I334&lt;=0.01,0,ROUND(S333+AC334-I334,2))</f>
        <v>0.0</v>
      </c>
      <c r="T334" s="31">
        <f>IF(T333+AD334-J334&lt;=0.01,0,ROUND(T333+AD334-J334,2))</f>
        <v>0.0</v>
      </c>
      <c r="U334" s="31">
        <f>IF(U333+AE334-K334&lt;=0.01,0,ROUND(U333+AE334-K334,2))</f>
        <v>0.0</v>
      </c>
      <c r="V334" s="31">
        <f>IF(V333+AF334-L334&lt;=0.01,0,ROUND(V333+AF334-L334,2))</f>
        <v>0.0</v>
      </c>
      <c r="W334" s="31">
        <f>IF(W333+AG334-M334&lt;=0.01,0,ROUND(W333+AG334-M334,2))</f>
        <v>0.0</v>
      </c>
      <c r="X334" s="31">
        <f>IF(X333+AH334-N334&lt;=0.01,0,ROUND(X333+AH334-N334,2))</f>
        <v>0.0</v>
      </c>
      <c r="Y334" s="31">
        <f>IF(Y333+AI334-O334&lt;=0.01,0,ROUND(Y333+AI334-O334,2))</f>
        <v>0.0</v>
      </c>
      <c r="Z334" s="31">
        <f>IF(Z333+AJ334-P334&lt;=0.01,0,ROUND(Z333+AJ334-P334,2))</f>
        <v>0.0</v>
      </c>
      <c r="AA334" s="31">
        <f>IF(AA333+AK334-Q334&lt;=0.01,0,ROUND(AA333+AK334-Q334,2))</f>
        <v>0.0</v>
      </c>
      <c r="AB334" s="31">
        <f>ROUND(R333*AB$5/1200,2)</f>
        <v>0.0</v>
      </c>
      <c r="AC334" s="31">
        <f>ROUND(S333*AC$5/1200,2)</f>
        <v>0.0</v>
      </c>
      <c r="AD334" s="31">
        <f>ROUND(T333*AD$5/1200,2)</f>
        <v>0.0</v>
      </c>
      <c r="AE334" s="31">
        <f>ROUND(U333*AE$5/1200,2)</f>
        <v>0.0</v>
      </c>
      <c r="AF334" s="31">
        <f>ROUND(V333*AF$5/1200,2)</f>
        <v>0.0</v>
      </c>
      <c r="AG334" s="31">
        <f>ROUND(W333*AG$5/1200,2)</f>
        <v>0.0</v>
      </c>
      <c r="AH334" s="31">
        <f>ROUND(X333*AH$5/1200,2)</f>
        <v>0.0</v>
      </c>
      <c r="AI334" s="31">
        <f>ROUND(Y333*AI$5/1200,2)</f>
        <v>0.0</v>
      </c>
      <c r="AJ334" s="31">
        <f>ROUND(Z333*AJ$5/1200,2)</f>
        <v>0.0</v>
      </c>
      <c r="AK334" s="31">
        <f>ROUND(AA333*AK$5/1200,2)</f>
        <v>0.0</v>
      </c>
      <c r="AL334" s="31">
        <f>MIN(AL$5,R333+AB334)</f>
        <v>0.0</v>
      </c>
      <c r="AM334" s="31">
        <f>MIN(AM$5,S333+AC334)</f>
        <v>0.0</v>
      </c>
      <c r="AN334" s="31">
        <f>MIN(AN$5,T333+AD334)</f>
        <v>0.0</v>
      </c>
      <c r="AO334" s="31">
        <f>MIN(AO$5,U333+AE334)</f>
        <v>0.0</v>
      </c>
      <c r="AP334" s="31">
        <f>MIN(AP$5,V333+AF334)</f>
        <v>0.0</v>
      </c>
      <c r="AQ334" s="31">
        <f>MIN(AQ$5,W333+AG334)</f>
        <v>0.0</v>
      </c>
      <c r="AR334" s="31">
        <f>MIN(AR$5,X333+AH334)</f>
        <v>0.0</v>
      </c>
      <c r="AS334" s="31">
        <f>MIN(AS$5,Y333+AI334)</f>
        <v>0.0</v>
      </c>
      <c r="AT334" s="31">
        <f>MIN(AT$5,Z333+AJ334)</f>
        <v>0.0</v>
      </c>
      <c r="AU334" s="31">
        <f>MIN(AU$5,AA333+AK334)</f>
        <v>0.0</v>
      </c>
    </row>
    <row r="335">
      <c r="A335" s="25" t="str">
        <f>IF(F334&gt;0.005,330,"")</f>
        <v/>
      </c>
      <c r="B335" s="33" t="str">
        <f>IF(A335="","",EDATE(Долги!$D$5,329))</f>
        <v/>
      </c>
      <c r="C335" s="31">
        <f>SUM(H335:Q335)</f>
        <v>0.0</v>
      </c>
      <c r="D335" s="31">
        <f>SUM(AB335:AK335)</f>
        <v>0.0</v>
      </c>
      <c r="E335" s="31">
        <f>C335-D335</f>
        <v>0.0</v>
      </c>
      <c r="F335" s="31">
        <f>SUM(R335:AA335)</f>
        <v>0.0</v>
      </c>
      <c r="G335" s="34" t="str">
        <f>IF(OR(A335="",$F$5&lt;=0),"",REPT("█",ROUND(20*F335/$F$5,0)))</f>
        <v/>
      </c>
      <c r="H335" s="31">
        <f>AL335+MIN(R334+AB335-AL335,MAX(0,ROUND(Долги!$D$19-SUM($AL335:$AU335),2)))</f>
        <v>0.0</v>
      </c>
      <c r="I335" s="31">
        <f>AM335+MIN(S334+AC335-AM335,MAX(0,ROUND(ROUND(Долги!$D$19-SUM($AL335:$AU335),2)-(SUM($H335:H335)-SUM($AL335:AL335)),2)))</f>
        <v>0.0</v>
      </c>
      <c r="J335" s="31">
        <f>AN335+MIN(T334+AD335-AN335,MAX(0,ROUND(ROUND(Долги!$D$19-SUM($AL335:$AU335),2)-(SUM($H335:I335)-SUM($AL335:AM335)),2)))</f>
        <v>0.0</v>
      </c>
      <c r="K335" s="31">
        <f>AO335+MIN(U334+AE335-AO335,MAX(0,ROUND(ROUND(Долги!$D$19-SUM($AL335:$AU335),2)-(SUM($H335:J335)-SUM($AL335:AN335)),2)))</f>
        <v>0.0</v>
      </c>
      <c r="L335" s="31">
        <f>AP335+MIN(V334+AF335-AP335,MAX(0,ROUND(ROUND(Долги!$D$19-SUM($AL335:$AU335),2)-(SUM($H335:K335)-SUM($AL335:AO335)),2)))</f>
        <v>0.0</v>
      </c>
      <c r="M335" s="31">
        <f>AQ335+MIN(W334+AG335-AQ335,MAX(0,ROUND(ROUND(Долги!$D$19-SUM($AL335:$AU335),2)-(SUM($H335:L335)-SUM($AL335:AP335)),2)))</f>
        <v>0.0</v>
      </c>
      <c r="N335" s="31">
        <f>AR335+MIN(X334+AH335-AR335,MAX(0,ROUND(ROUND(Долги!$D$19-SUM($AL335:$AU335),2)-(SUM($H335:M335)-SUM($AL335:AQ335)),2)))</f>
        <v>0.0</v>
      </c>
      <c r="O335" s="31">
        <f>AS335+MIN(Y334+AI335-AS335,MAX(0,ROUND(ROUND(Долги!$D$19-SUM($AL335:$AU335),2)-(SUM($H335:N335)-SUM($AL335:AR335)),2)))</f>
        <v>0.0</v>
      </c>
      <c r="P335" s="31">
        <f>AT335+MIN(Z334+AJ335-AT335,MAX(0,ROUND(ROUND(Долги!$D$19-SUM($AL335:$AU335),2)-(SUM($H335:O335)-SUM($AL335:AS335)),2)))</f>
        <v>0.0</v>
      </c>
      <c r="Q335" s="31">
        <f>AU335+MIN(AA334+AK335-AU335,MAX(0,ROUND(ROUND(Долги!$D$19-SUM($AL335:$AU335),2)-(SUM($H335:P335)-SUM($AL335:AT335)),2)))</f>
        <v>0.0</v>
      </c>
      <c r="R335" s="31">
        <f>IF(R334+AB335-H335&lt;=0.01,0,ROUND(R334+AB335-H335,2))</f>
        <v>0.0</v>
      </c>
      <c r="S335" s="31">
        <f>IF(S334+AC335-I335&lt;=0.01,0,ROUND(S334+AC335-I335,2))</f>
        <v>0.0</v>
      </c>
      <c r="T335" s="31">
        <f>IF(T334+AD335-J335&lt;=0.01,0,ROUND(T334+AD335-J335,2))</f>
        <v>0.0</v>
      </c>
      <c r="U335" s="31">
        <f>IF(U334+AE335-K335&lt;=0.01,0,ROUND(U334+AE335-K335,2))</f>
        <v>0.0</v>
      </c>
      <c r="V335" s="31">
        <f>IF(V334+AF335-L335&lt;=0.01,0,ROUND(V334+AF335-L335,2))</f>
        <v>0.0</v>
      </c>
      <c r="W335" s="31">
        <f>IF(W334+AG335-M335&lt;=0.01,0,ROUND(W334+AG335-M335,2))</f>
        <v>0.0</v>
      </c>
      <c r="X335" s="31">
        <f>IF(X334+AH335-N335&lt;=0.01,0,ROUND(X334+AH335-N335,2))</f>
        <v>0.0</v>
      </c>
      <c r="Y335" s="31">
        <f>IF(Y334+AI335-O335&lt;=0.01,0,ROUND(Y334+AI335-O335,2))</f>
        <v>0.0</v>
      </c>
      <c r="Z335" s="31">
        <f>IF(Z334+AJ335-P335&lt;=0.01,0,ROUND(Z334+AJ335-P335,2))</f>
        <v>0.0</v>
      </c>
      <c r="AA335" s="31">
        <f>IF(AA334+AK335-Q335&lt;=0.01,0,ROUND(AA334+AK335-Q335,2))</f>
        <v>0.0</v>
      </c>
      <c r="AB335" s="31">
        <f>ROUND(R334*AB$5/1200,2)</f>
        <v>0.0</v>
      </c>
      <c r="AC335" s="31">
        <f>ROUND(S334*AC$5/1200,2)</f>
        <v>0.0</v>
      </c>
      <c r="AD335" s="31">
        <f>ROUND(T334*AD$5/1200,2)</f>
        <v>0.0</v>
      </c>
      <c r="AE335" s="31">
        <f>ROUND(U334*AE$5/1200,2)</f>
        <v>0.0</v>
      </c>
      <c r="AF335" s="31">
        <f>ROUND(V334*AF$5/1200,2)</f>
        <v>0.0</v>
      </c>
      <c r="AG335" s="31">
        <f>ROUND(W334*AG$5/1200,2)</f>
        <v>0.0</v>
      </c>
      <c r="AH335" s="31">
        <f>ROUND(X334*AH$5/1200,2)</f>
        <v>0.0</v>
      </c>
      <c r="AI335" s="31">
        <f>ROUND(Y334*AI$5/1200,2)</f>
        <v>0.0</v>
      </c>
      <c r="AJ335" s="31">
        <f>ROUND(Z334*AJ$5/1200,2)</f>
        <v>0.0</v>
      </c>
      <c r="AK335" s="31">
        <f>ROUND(AA334*AK$5/1200,2)</f>
        <v>0.0</v>
      </c>
      <c r="AL335" s="31">
        <f>MIN(AL$5,R334+AB335)</f>
        <v>0.0</v>
      </c>
      <c r="AM335" s="31">
        <f>MIN(AM$5,S334+AC335)</f>
        <v>0.0</v>
      </c>
      <c r="AN335" s="31">
        <f>MIN(AN$5,T334+AD335)</f>
        <v>0.0</v>
      </c>
      <c r="AO335" s="31">
        <f>MIN(AO$5,U334+AE335)</f>
        <v>0.0</v>
      </c>
      <c r="AP335" s="31">
        <f>MIN(AP$5,V334+AF335)</f>
        <v>0.0</v>
      </c>
      <c r="AQ335" s="31">
        <f>MIN(AQ$5,W334+AG335)</f>
        <v>0.0</v>
      </c>
      <c r="AR335" s="31">
        <f>MIN(AR$5,X334+AH335)</f>
        <v>0.0</v>
      </c>
      <c r="AS335" s="31">
        <f>MIN(AS$5,Y334+AI335)</f>
        <v>0.0</v>
      </c>
      <c r="AT335" s="31">
        <f>MIN(AT$5,Z334+AJ335)</f>
        <v>0.0</v>
      </c>
      <c r="AU335" s="31">
        <f>MIN(AU$5,AA334+AK335)</f>
        <v>0.0</v>
      </c>
    </row>
    <row r="336">
      <c r="A336" s="25" t="str">
        <f>IF(F335&gt;0.005,331,"")</f>
        <v/>
      </c>
      <c r="B336" s="33" t="str">
        <f>IF(A336="","",EDATE(Долги!$D$5,330))</f>
        <v/>
      </c>
      <c r="C336" s="31">
        <f>SUM(H336:Q336)</f>
        <v>0.0</v>
      </c>
      <c r="D336" s="31">
        <f>SUM(AB336:AK336)</f>
        <v>0.0</v>
      </c>
      <c r="E336" s="31">
        <f>C336-D336</f>
        <v>0.0</v>
      </c>
      <c r="F336" s="31">
        <f>SUM(R336:AA336)</f>
        <v>0.0</v>
      </c>
      <c r="G336" s="34" t="str">
        <f>IF(OR(A336="",$F$5&lt;=0),"",REPT("█",ROUND(20*F336/$F$5,0)))</f>
        <v/>
      </c>
      <c r="H336" s="31">
        <f>AL336+MIN(R335+AB336-AL336,MAX(0,ROUND(Долги!$D$19-SUM($AL336:$AU336),2)))</f>
        <v>0.0</v>
      </c>
      <c r="I336" s="31">
        <f>AM336+MIN(S335+AC336-AM336,MAX(0,ROUND(ROUND(Долги!$D$19-SUM($AL336:$AU336),2)-(SUM($H336:H336)-SUM($AL336:AL336)),2)))</f>
        <v>0.0</v>
      </c>
      <c r="J336" s="31">
        <f>AN336+MIN(T335+AD336-AN336,MAX(0,ROUND(ROUND(Долги!$D$19-SUM($AL336:$AU336),2)-(SUM($H336:I336)-SUM($AL336:AM336)),2)))</f>
        <v>0.0</v>
      </c>
      <c r="K336" s="31">
        <f>AO336+MIN(U335+AE336-AO336,MAX(0,ROUND(ROUND(Долги!$D$19-SUM($AL336:$AU336),2)-(SUM($H336:J336)-SUM($AL336:AN336)),2)))</f>
        <v>0.0</v>
      </c>
      <c r="L336" s="31">
        <f>AP336+MIN(V335+AF336-AP336,MAX(0,ROUND(ROUND(Долги!$D$19-SUM($AL336:$AU336),2)-(SUM($H336:K336)-SUM($AL336:AO336)),2)))</f>
        <v>0.0</v>
      </c>
      <c r="M336" s="31">
        <f>AQ336+MIN(W335+AG336-AQ336,MAX(0,ROUND(ROUND(Долги!$D$19-SUM($AL336:$AU336),2)-(SUM($H336:L336)-SUM($AL336:AP336)),2)))</f>
        <v>0.0</v>
      </c>
      <c r="N336" s="31">
        <f>AR336+MIN(X335+AH336-AR336,MAX(0,ROUND(ROUND(Долги!$D$19-SUM($AL336:$AU336),2)-(SUM($H336:M336)-SUM($AL336:AQ336)),2)))</f>
        <v>0.0</v>
      </c>
      <c r="O336" s="31">
        <f>AS336+MIN(Y335+AI336-AS336,MAX(0,ROUND(ROUND(Долги!$D$19-SUM($AL336:$AU336),2)-(SUM($H336:N336)-SUM($AL336:AR336)),2)))</f>
        <v>0.0</v>
      </c>
      <c r="P336" s="31">
        <f>AT336+MIN(Z335+AJ336-AT336,MAX(0,ROUND(ROUND(Долги!$D$19-SUM($AL336:$AU336),2)-(SUM($H336:O336)-SUM($AL336:AS336)),2)))</f>
        <v>0.0</v>
      </c>
      <c r="Q336" s="31">
        <f>AU336+MIN(AA335+AK336-AU336,MAX(0,ROUND(ROUND(Долги!$D$19-SUM($AL336:$AU336),2)-(SUM($H336:P336)-SUM($AL336:AT336)),2)))</f>
        <v>0.0</v>
      </c>
      <c r="R336" s="31">
        <f>IF(R335+AB336-H336&lt;=0.01,0,ROUND(R335+AB336-H336,2))</f>
        <v>0.0</v>
      </c>
      <c r="S336" s="31">
        <f>IF(S335+AC336-I336&lt;=0.01,0,ROUND(S335+AC336-I336,2))</f>
        <v>0.0</v>
      </c>
      <c r="T336" s="31">
        <f>IF(T335+AD336-J336&lt;=0.01,0,ROUND(T335+AD336-J336,2))</f>
        <v>0.0</v>
      </c>
      <c r="U336" s="31">
        <f>IF(U335+AE336-K336&lt;=0.01,0,ROUND(U335+AE336-K336,2))</f>
        <v>0.0</v>
      </c>
      <c r="V336" s="31">
        <f>IF(V335+AF336-L336&lt;=0.01,0,ROUND(V335+AF336-L336,2))</f>
        <v>0.0</v>
      </c>
      <c r="W336" s="31">
        <f>IF(W335+AG336-M336&lt;=0.01,0,ROUND(W335+AG336-M336,2))</f>
        <v>0.0</v>
      </c>
      <c r="X336" s="31">
        <f>IF(X335+AH336-N336&lt;=0.01,0,ROUND(X335+AH336-N336,2))</f>
        <v>0.0</v>
      </c>
      <c r="Y336" s="31">
        <f>IF(Y335+AI336-O336&lt;=0.01,0,ROUND(Y335+AI336-O336,2))</f>
        <v>0.0</v>
      </c>
      <c r="Z336" s="31">
        <f>IF(Z335+AJ336-P336&lt;=0.01,0,ROUND(Z335+AJ336-P336,2))</f>
        <v>0.0</v>
      </c>
      <c r="AA336" s="31">
        <f>IF(AA335+AK336-Q336&lt;=0.01,0,ROUND(AA335+AK336-Q336,2))</f>
        <v>0.0</v>
      </c>
      <c r="AB336" s="31">
        <f>ROUND(R335*AB$5/1200,2)</f>
        <v>0.0</v>
      </c>
      <c r="AC336" s="31">
        <f>ROUND(S335*AC$5/1200,2)</f>
        <v>0.0</v>
      </c>
      <c r="AD336" s="31">
        <f>ROUND(T335*AD$5/1200,2)</f>
        <v>0.0</v>
      </c>
      <c r="AE336" s="31">
        <f>ROUND(U335*AE$5/1200,2)</f>
        <v>0.0</v>
      </c>
      <c r="AF336" s="31">
        <f>ROUND(V335*AF$5/1200,2)</f>
        <v>0.0</v>
      </c>
      <c r="AG336" s="31">
        <f>ROUND(W335*AG$5/1200,2)</f>
        <v>0.0</v>
      </c>
      <c r="AH336" s="31">
        <f>ROUND(X335*AH$5/1200,2)</f>
        <v>0.0</v>
      </c>
      <c r="AI336" s="31">
        <f>ROUND(Y335*AI$5/1200,2)</f>
        <v>0.0</v>
      </c>
      <c r="AJ336" s="31">
        <f>ROUND(Z335*AJ$5/1200,2)</f>
        <v>0.0</v>
      </c>
      <c r="AK336" s="31">
        <f>ROUND(AA335*AK$5/1200,2)</f>
        <v>0.0</v>
      </c>
      <c r="AL336" s="31">
        <f>MIN(AL$5,R335+AB336)</f>
        <v>0.0</v>
      </c>
      <c r="AM336" s="31">
        <f>MIN(AM$5,S335+AC336)</f>
        <v>0.0</v>
      </c>
      <c r="AN336" s="31">
        <f>MIN(AN$5,T335+AD336)</f>
        <v>0.0</v>
      </c>
      <c r="AO336" s="31">
        <f>MIN(AO$5,U335+AE336)</f>
        <v>0.0</v>
      </c>
      <c r="AP336" s="31">
        <f>MIN(AP$5,V335+AF336)</f>
        <v>0.0</v>
      </c>
      <c r="AQ336" s="31">
        <f>MIN(AQ$5,W335+AG336)</f>
        <v>0.0</v>
      </c>
      <c r="AR336" s="31">
        <f>MIN(AR$5,X335+AH336)</f>
        <v>0.0</v>
      </c>
      <c r="AS336" s="31">
        <f>MIN(AS$5,Y335+AI336)</f>
        <v>0.0</v>
      </c>
      <c r="AT336" s="31">
        <f>MIN(AT$5,Z335+AJ336)</f>
        <v>0.0</v>
      </c>
      <c r="AU336" s="31">
        <f>MIN(AU$5,AA335+AK336)</f>
        <v>0.0</v>
      </c>
    </row>
    <row r="337">
      <c r="A337" s="25" t="str">
        <f>IF(F336&gt;0.005,332,"")</f>
        <v/>
      </c>
      <c r="B337" s="33" t="str">
        <f>IF(A337="","",EDATE(Долги!$D$5,331))</f>
        <v/>
      </c>
      <c r="C337" s="31">
        <f>SUM(H337:Q337)</f>
        <v>0.0</v>
      </c>
      <c r="D337" s="31">
        <f>SUM(AB337:AK337)</f>
        <v>0.0</v>
      </c>
      <c r="E337" s="31">
        <f>C337-D337</f>
        <v>0.0</v>
      </c>
      <c r="F337" s="31">
        <f>SUM(R337:AA337)</f>
        <v>0.0</v>
      </c>
      <c r="G337" s="34" t="str">
        <f>IF(OR(A337="",$F$5&lt;=0),"",REPT("█",ROUND(20*F337/$F$5,0)))</f>
        <v/>
      </c>
      <c r="H337" s="31">
        <f>AL337+MIN(R336+AB337-AL337,MAX(0,ROUND(Долги!$D$19-SUM($AL337:$AU337),2)))</f>
        <v>0.0</v>
      </c>
      <c r="I337" s="31">
        <f>AM337+MIN(S336+AC337-AM337,MAX(0,ROUND(ROUND(Долги!$D$19-SUM($AL337:$AU337),2)-(SUM($H337:H337)-SUM($AL337:AL337)),2)))</f>
        <v>0.0</v>
      </c>
      <c r="J337" s="31">
        <f>AN337+MIN(T336+AD337-AN337,MAX(0,ROUND(ROUND(Долги!$D$19-SUM($AL337:$AU337),2)-(SUM($H337:I337)-SUM($AL337:AM337)),2)))</f>
        <v>0.0</v>
      </c>
      <c r="K337" s="31">
        <f>AO337+MIN(U336+AE337-AO337,MAX(0,ROUND(ROUND(Долги!$D$19-SUM($AL337:$AU337),2)-(SUM($H337:J337)-SUM($AL337:AN337)),2)))</f>
        <v>0.0</v>
      </c>
      <c r="L337" s="31">
        <f>AP337+MIN(V336+AF337-AP337,MAX(0,ROUND(ROUND(Долги!$D$19-SUM($AL337:$AU337),2)-(SUM($H337:K337)-SUM($AL337:AO337)),2)))</f>
        <v>0.0</v>
      </c>
      <c r="M337" s="31">
        <f>AQ337+MIN(W336+AG337-AQ337,MAX(0,ROUND(ROUND(Долги!$D$19-SUM($AL337:$AU337),2)-(SUM($H337:L337)-SUM($AL337:AP337)),2)))</f>
        <v>0.0</v>
      </c>
      <c r="N337" s="31">
        <f>AR337+MIN(X336+AH337-AR337,MAX(0,ROUND(ROUND(Долги!$D$19-SUM($AL337:$AU337),2)-(SUM($H337:M337)-SUM($AL337:AQ337)),2)))</f>
        <v>0.0</v>
      </c>
      <c r="O337" s="31">
        <f>AS337+MIN(Y336+AI337-AS337,MAX(0,ROUND(ROUND(Долги!$D$19-SUM($AL337:$AU337),2)-(SUM($H337:N337)-SUM($AL337:AR337)),2)))</f>
        <v>0.0</v>
      </c>
      <c r="P337" s="31">
        <f>AT337+MIN(Z336+AJ337-AT337,MAX(0,ROUND(ROUND(Долги!$D$19-SUM($AL337:$AU337),2)-(SUM($H337:O337)-SUM($AL337:AS337)),2)))</f>
        <v>0.0</v>
      </c>
      <c r="Q337" s="31">
        <f>AU337+MIN(AA336+AK337-AU337,MAX(0,ROUND(ROUND(Долги!$D$19-SUM($AL337:$AU337),2)-(SUM($H337:P337)-SUM($AL337:AT337)),2)))</f>
        <v>0.0</v>
      </c>
      <c r="R337" s="31">
        <f>IF(R336+AB337-H337&lt;=0.01,0,ROUND(R336+AB337-H337,2))</f>
        <v>0.0</v>
      </c>
      <c r="S337" s="31">
        <f>IF(S336+AC337-I337&lt;=0.01,0,ROUND(S336+AC337-I337,2))</f>
        <v>0.0</v>
      </c>
      <c r="T337" s="31">
        <f>IF(T336+AD337-J337&lt;=0.01,0,ROUND(T336+AD337-J337,2))</f>
        <v>0.0</v>
      </c>
      <c r="U337" s="31">
        <f>IF(U336+AE337-K337&lt;=0.01,0,ROUND(U336+AE337-K337,2))</f>
        <v>0.0</v>
      </c>
      <c r="V337" s="31">
        <f>IF(V336+AF337-L337&lt;=0.01,0,ROUND(V336+AF337-L337,2))</f>
        <v>0.0</v>
      </c>
      <c r="W337" s="31">
        <f>IF(W336+AG337-M337&lt;=0.01,0,ROUND(W336+AG337-M337,2))</f>
        <v>0.0</v>
      </c>
      <c r="X337" s="31">
        <f>IF(X336+AH337-N337&lt;=0.01,0,ROUND(X336+AH337-N337,2))</f>
        <v>0.0</v>
      </c>
      <c r="Y337" s="31">
        <f>IF(Y336+AI337-O337&lt;=0.01,0,ROUND(Y336+AI337-O337,2))</f>
        <v>0.0</v>
      </c>
      <c r="Z337" s="31">
        <f>IF(Z336+AJ337-P337&lt;=0.01,0,ROUND(Z336+AJ337-P337,2))</f>
        <v>0.0</v>
      </c>
      <c r="AA337" s="31">
        <f>IF(AA336+AK337-Q337&lt;=0.01,0,ROUND(AA336+AK337-Q337,2))</f>
        <v>0.0</v>
      </c>
      <c r="AB337" s="31">
        <f>ROUND(R336*AB$5/1200,2)</f>
        <v>0.0</v>
      </c>
      <c r="AC337" s="31">
        <f>ROUND(S336*AC$5/1200,2)</f>
        <v>0.0</v>
      </c>
      <c r="AD337" s="31">
        <f>ROUND(T336*AD$5/1200,2)</f>
        <v>0.0</v>
      </c>
      <c r="AE337" s="31">
        <f>ROUND(U336*AE$5/1200,2)</f>
        <v>0.0</v>
      </c>
      <c r="AF337" s="31">
        <f>ROUND(V336*AF$5/1200,2)</f>
        <v>0.0</v>
      </c>
      <c r="AG337" s="31">
        <f>ROUND(W336*AG$5/1200,2)</f>
        <v>0.0</v>
      </c>
      <c r="AH337" s="31">
        <f>ROUND(X336*AH$5/1200,2)</f>
        <v>0.0</v>
      </c>
      <c r="AI337" s="31">
        <f>ROUND(Y336*AI$5/1200,2)</f>
        <v>0.0</v>
      </c>
      <c r="AJ337" s="31">
        <f>ROUND(Z336*AJ$5/1200,2)</f>
        <v>0.0</v>
      </c>
      <c r="AK337" s="31">
        <f>ROUND(AA336*AK$5/1200,2)</f>
        <v>0.0</v>
      </c>
      <c r="AL337" s="31">
        <f>MIN(AL$5,R336+AB337)</f>
        <v>0.0</v>
      </c>
      <c r="AM337" s="31">
        <f>MIN(AM$5,S336+AC337)</f>
        <v>0.0</v>
      </c>
      <c r="AN337" s="31">
        <f>MIN(AN$5,T336+AD337)</f>
        <v>0.0</v>
      </c>
      <c r="AO337" s="31">
        <f>MIN(AO$5,U336+AE337)</f>
        <v>0.0</v>
      </c>
      <c r="AP337" s="31">
        <f>MIN(AP$5,V336+AF337)</f>
        <v>0.0</v>
      </c>
      <c r="AQ337" s="31">
        <f>MIN(AQ$5,W336+AG337)</f>
        <v>0.0</v>
      </c>
      <c r="AR337" s="31">
        <f>MIN(AR$5,X336+AH337)</f>
        <v>0.0</v>
      </c>
      <c r="AS337" s="31">
        <f>MIN(AS$5,Y336+AI337)</f>
        <v>0.0</v>
      </c>
      <c r="AT337" s="31">
        <f>MIN(AT$5,Z336+AJ337)</f>
        <v>0.0</v>
      </c>
      <c r="AU337" s="31">
        <f>MIN(AU$5,AA336+AK337)</f>
        <v>0.0</v>
      </c>
    </row>
    <row r="338">
      <c r="A338" s="25" t="str">
        <f>IF(F337&gt;0.005,333,"")</f>
        <v/>
      </c>
      <c r="B338" s="33" t="str">
        <f>IF(A338="","",EDATE(Долги!$D$5,332))</f>
        <v/>
      </c>
      <c r="C338" s="31">
        <f>SUM(H338:Q338)</f>
        <v>0.0</v>
      </c>
      <c r="D338" s="31">
        <f>SUM(AB338:AK338)</f>
        <v>0.0</v>
      </c>
      <c r="E338" s="31">
        <f>C338-D338</f>
        <v>0.0</v>
      </c>
      <c r="F338" s="31">
        <f>SUM(R338:AA338)</f>
        <v>0.0</v>
      </c>
      <c r="G338" s="34" t="str">
        <f>IF(OR(A338="",$F$5&lt;=0),"",REPT("█",ROUND(20*F338/$F$5,0)))</f>
        <v/>
      </c>
      <c r="H338" s="31">
        <f>AL338+MIN(R337+AB338-AL338,MAX(0,ROUND(Долги!$D$19-SUM($AL338:$AU338),2)))</f>
        <v>0.0</v>
      </c>
      <c r="I338" s="31">
        <f>AM338+MIN(S337+AC338-AM338,MAX(0,ROUND(ROUND(Долги!$D$19-SUM($AL338:$AU338),2)-(SUM($H338:H338)-SUM($AL338:AL338)),2)))</f>
        <v>0.0</v>
      </c>
      <c r="J338" s="31">
        <f>AN338+MIN(T337+AD338-AN338,MAX(0,ROUND(ROUND(Долги!$D$19-SUM($AL338:$AU338),2)-(SUM($H338:I338)-SUM($AL338:AM338)),2)))</f>
        <v>0.0</v>
      </c>
      <c r="K338" s="31">
        <f>AO338+MIN(U337+AE338-AO338,MAX(0,ROUND(ROUND(Долги!$D$19-SUM($AL338:$AU338),2)-(SUM($H338:J338)-SUM($AL338:AN338)),2)))</f>
        <v>0.0</v>
      </c>
      <c r="L338" s="31">
        <f>AP338+MIN(V337+AF338-AP338,MAX(0,ROUND(ROUND(Долги!$D$19-SUM($AL338:$AU338),2)-(SUM($H338:K338)-SUM($AL338:AO338)),2)))</f>
        <v>0.0</v>
      </c>
      <c r="M338" s="31">
        <f>AQ338+MIN(W337+AG338-AQ338,MAX(0,ROUND(ROUND(Долги!$D$19-SUM($AL338:$AU338),2)-(SUM($H338:L338)-SUM($AL338:AP338)),2)))</f>
        <v>0.0</v>
      </c>
      <c r="N338" s="31">
        <f>AR338+MIN(X337+AH338-AR338,MAX(0,ROUND(ROUND(Долги!$D$19-SUM($AL338:$AU338),2)-(SUM($H338:M338)-SUM($AL338:AQ338)),2)))</f>
        <v>0.0</v>
      </c>
      <c r="O338" s="31">
        <f>AS338+MIN(Y337+AI338-AS338,MAX(0,ROUND(ROUND(Долги!$D$19-SUM($AL338:$AU338),2)-(SUM($H338:N338)-SUM($AL338:AR338)),2)))</f>
        <v>0.0</v>
      </c>
      <c r="P338" s="31">
        <f>AT338+MIN(Z337+AJ338-AT338,MAX(0,ROUND(ROUND(Долги!$D$19-SUM($AL338:$AU338),2)-(SUM($H338:O338)-SUM($AL338:AS338)),2)))</f>
        <v>0.0</v>
      </c>
      <c r="Q338" s="31">
        <f>AU338+MIN(AA337+AK338-AU338,MAX(0,ROUND(ROUND(Долги!$D$19-SUM($AL338:$AU338),2)-(SUM($H338:P338)-SUM($AL338:AT338)),2)))</f>
        <v>0.0</v>
      </c>
      <c r="R338" s="31">
        <f>IF(R337+AB338-H338&lt;=0.01,0,ROUND(R337+AB338-H338,2))</f>
        <v>0.0</v>
      </c>
      <c r="S338" s="31">
        <f>IF(S337+AC338-I338&lt;=0.01,0,ROUND(S337+AC338-I338,2))</f>
        <v>0.0</v>
      </c>
      <c r="T338" s="31">
        <f>IF(T337+AD338-J338&lt;=0.01,0,ROUND(T337+AD338-J338,2))</f>
        <v>0.0</v>
      </c>
      <c r="U338" s="31">
        <f>IF(U337+AE338-K338&lt;=0.01,0,ROUND(U337+AE338-K338,2))</f>
        <v>0.0</v>
      </c>
      <c r="V338" s="31">
        <f>IF(V337+AF338-L338&lt;=0.01,0,ROUND(V337+AF338-L338,2))</f>
        <v>0.0</v>
      </c>
      <c r="W338" s="31">
        <f>IF(W337+AG338-M338&lt;=0.01,0,ROUND(W337+AG338-M338,2))</f>
        <v>0.0</v>
      </c>
      <c r="X338" s="31">
        <f>IF(X337+AH338-N338&lt;=0.01,0,ROUND(X337+AH338-N338,2))</f>
        <v>0.0</v>
      </c>
      <c r="Y338" s="31">
        <f>IF(Y337+AI338-O338&lt;=0.01,0,ROUND(Y337+AI338-O338,2))</f>
        <v>0.0</v>
      </c>
      <c r="Z338" s="31">
        <f>IF(Z337+AJ338-P338&lt;=0.01,0,ROUND(Z337+AJ338-P338,2))</f>
        <v>0.0</v>
      </c>
      <c r="AA338" s="31">
        <f>IF(AA337+AK338-Q338&lt;=0.01,0,ROUND(AA337+AK338-Q338,2))</f>
        <v>0.0</v>
      </c>
      <c r="AB338" s="31">
        <f>ROUND(R337*AB$5/1200,2)</f>
        <v>0.0</v>
      </c>
      <c r="AC338" s="31">
        <f>ROUND(S337*AC$5/1200,2)</f>
        <v>0.0</v>
      </c>
      <c r="AD338" s="31">
        <f>ROUND(T337*AD$5/1200,2)</f>
        <v>0.0</v>
      </c>
      <c r="AE338" s="31">
        <f>ROUND(U337*AE$5/1200,2)</f>
        <v>0.0</v>
      </c>
      <c r="AF338" s="31">
        <f>ROUND(V337*AF$5/1200,2)</f>
        <v>0.0</v>
      </c>
      <c r="AG338" s="31">
        <f>ROUND(W337*AG$5/1200,2)</f>
        <v>0.0</v>
      </c>
      <c r="AH338" s="31">
        <f>ROUND(X337*AH$5/1200,2)</f>
        <v>0.0</v>
      </c>
      <c r="AI338" s="31">
        <f>ROUND(Y337*AI$5/1200,2)</f>
        <v>0.0</v>
      </c>
      <c r="AJ338" s="31">
        <f>ROUND(Z337*AJ$5/1200,2)</f>
        <v>0.0</v>
      </c>
      <c r="AK338" s="31">
        <f>ROUND(AA337*AK$5/1200,2)</f>
        <v>0.0</v>
      </c>
      <c r="AL338" s="31">
        <f>MIN(AL$5,R337+AB338)</f>
        <v>0.0</v>
      </c>
      <c r="AM338" s="31">
        <f>MIN(AM$5,S337+AC338)</f>
        <v>0.0</v>
      </c>
      <c r="AN338" s="31">
        <f>MIN(AN$5,T337+AD338)</f>
        <v>0.0</v>
      </c>
      <c r="AO338" s="31">
        <f>MIN(AO$5,U337+AE338)</f>
        <v>0.0</v>
      </c>
      <c r="AP338" s="31">
        <f>MIN(AP$5,V337+AF338)</f>
        <v>0.0</v>
      </c>
      <c r="AQ338" s="31">
        <f>MIN(AQ$5,W337+AG338)</f>
        <v>0.0</v>
      </c>
      <c r="AR338" s="31">
        <f>MIN(AR$5,X337+AH338)</f>
        <v>0.0</v>
      </c>
      <c r="AS338" s="31">
        <f>MIN(AS$5,Y337+AI338)</f>
        <v>0.0</v>
      </c>
      <c r="AT338" s="31">
        <f>MIN(AT$5,Z337+AJ338)</f>
        <v>0.0</v>
      </c>
      <c r="AU338" s="31">
        <f>MIN(AU$5,AA337+AK338)</f>
        <v>0.0</v>
      </c>
    </row>
    <row r="339">
      <c r="A339" s="25" t="str">
        <f>IF(F338&gt;0.005,334,"")</f>
        <v/>
      </c>
      <c r="B339" s="33" t="str">
        <f>IF(A339="","",EDATE(Долги!$D$5,333))</f>
        <v/>
      </c>
      <c r="C339" s="31">
        <f>SUM(H339:Q339)</f>
        <v>0.0</v>
      </c>
      <c r="D339" s="31">
        <f>SUM(AB339:AK339)</f>
        <v>0.0</v>
      </c>
      <c r="E339" s="31">
        <f>C339-D339</f>
        <v>0.0</v>
      </c>
      <c r="F339" s="31">
        <f>SUM(R339:AA339)</f>
        <v>0.0</v>
      </c>
      <c r="G339" s="34" t="str">
        <f>IF(OR(A339="",$F$5&lt;=0),"",REPT("█",ROUND(20*F339/$F$5,0)))</f>
        <v/>
      </c>
      <c r="H339" s="31">
        <f>AL339+MIN(R338+AB339-AL339,MAX(0,ROUND(Долги!$D$19-SUM($AL339:$AU339),2)))</f>
        <v>0.0</v>
      </c>
      <c r="I339" s="31">
        <f>AM339+MIN(S338+AC339-AM339,MAX(0,ROUND(ROUND(Долги!$D$19-SUM($AL339:$AU339),2)-(SUM($H339:H339)-SUM($AL339:AL339)),2)))</f>
        <v>0.0</v>
      </c>
      <c r="J339" s="31">
        <f>AN339+MIN(T338+AD339-AN339,MAX(0,ROUND(ROUND(Долги!$D$19-SUM($AL339:$AU339),2)-(SUM($H339:I339)-SUM($AL339:AM339)),2)))</f>
        <v>0.0</v>
      </c>
      <c r="K339" s="31">
        <f>AO339+MIN(U338+AE339-AO339,MAX(0,ROUND(ROUND(Долги!$D$19-SUM($AL339:$AU339),2)-(SUM($H339:J339)-SUM($AL339:AN339)),2)))</f>
        <v>0.0</v>
      </c>
      <c r="L339" s="31">
        <f>AP339+MIN(V338+AF339-AP339,MAX(0,ROUND(ROUND(Долги!$D$19-SUM($AL339:$AU339),2)-(SUM($H339:K339)-SUM($AL339:AO339)),2)))</f>
        <v>0.0</v>
      </c>
      <c r="M339" s="31">
        <f>AQ339+MIN(W338+AG339-AQ339,MAX(0,ROUND(ROUND(Долги!$D$19-SUM($AL339:$AU339),2)-(SUM($H339:L339)-SUM($AL339:AP339)),2)))</f>
        <v>0.0</v>
      </c>
      <c r="N339" s="31">
        <f>AR339+MIN(X338+AH339-AR339,MAX(0,ROUND(ROUND(Долги!$D$19-SUM($AL339:$AU339),2)-(SUM($H339:M339)-SUM($AL339:AQ339)),2)))</f>
        <v>0.0</v>
      </c>
      <c r="O339" s="31">
        <f>AS339+MIN(Y338+AI339-AS339,MAX(0,ROUND(ROUND(Долги!$D$19-SUM($AL339:$AU339),2)-(SUM($H339:N339)-SUM($AL339:AR339)),2)))</f>
        <v>0.0</v>
      </c>
      <c r="P339" s="31">
        <f>AT339+MIN(Z338+AJ339-AT339,MAX(0,ROUND(ROUND(Долги!$D$19-SUM($AL339:$AU339),2)-(SUM($H339:O339)-SUM($AL339:AS339)),2)))</f>
        <v>0.0</v>
      </c>
      <c r="Q339" s="31">
        <f>AU339+MIN(AA338+AK339-AU339,MAX(0,ROUND(ROUND(Долги!$D$19-SUM($AL339:$AU339),2)-(SUM($H339:P339)-SUM($AL339:AT339)),2)))</f>
        <v>0.0</v>
      </c>
      <c r="R339" s="31">
        <f>IF(R338+AB339-H339&lt;=0.01,0,ROUND(R338+AB339-H339,2))</f>
        <v>0.0</v>
      </c>
      <c r="S339" s="31">
        <f>IF(S338+AC339-I339&lt;=0.01,0,ROUND(S338+AC339-I339,2))</f>
        <v>0.0</v>
      </c>
      <c r="T339" s="31">
        <f>IF(T338+AD339-J339&lt;=0.01,0,ROUND(T338+AD339-J339,2))</f>
        <v>0.0</v>
      </c>
      <c r="U339" s="31">
        <f>IF(U338+AE339-K339&lt;=0.01,0,ROUND(U338+AE339-K339,2))</f>
        <v>0.0</v>
      </c>
      <c r="V339" s="31">
        <f>IF(V338+AF339-L339&lt;=0.01,0,ROUND(V338+AF339-L339,2))</f>
        <v>0.0</v>
      </c>
      <c r="W339" s="31">
        <f>IF(W338+AG339-M339&lt;=0.01,0,ROUND(W338+AG339-M339,2))</f>
        <v>0.0</v>
      </c>
      <c r="X339" s="31">
        <f>IF(X338+AH339-N339&lt;=0.01,0,ROUND(X338+AH339-N339,2))</f>
        <v>0.0</v>
      </c>
      <c r="Y339" s="31">
        <f>IF(Y338+AI339-O339&lt;=0.01,0,ROUND(Y338+AI339-O339,2))</f>
        <v>0.0</v>
      </c>
      <c r="Z339" s="31">
        <f>IF(Z338+AJ339-P339&lt;=0.01,0,ROUND(Z338+AJ339-P339,2))</f>
        <v>0.0</v>
      </c>
      <c r="AA339" s="31">
        <f>IF(AA338+AK339-Q339&lt;=0.01,0,ROUND(AA338+AK339-Q339,2))</f>
        <v>0.0</v>
      </c>
      <c r="AB339" s="31">
        <f>ROUND(R338*AB$5/1200,2)</f>
        <v>0.0</v>
      </c>
      <c r="AC339" s="31">
        <f>ROUND(S338*AC$5/1200,2)</f>
        <v>0.0</v>
      </c>
      <c r="AD339" s="31">
        <f>ROUND(T338*AD$5/1200,2)</f>
        <v>0.0</v>
      </c>
      <c r="AE339" s="31">
        <f>ROUND(U338*AE$5/1200,2)</f>
        <v>0.0</v>
      </c>
      <c r="AF339" s="31">
        <f>ROUND(V338*AF$5/1200,2)</f>
        <v>0.0</v>
      </c>
      <c r="AG339" s="31">
        <f>ROUND(W338*AG$5/1200,2)</f>
        <v>0.0</v>
      </c>
      <c r="AH339" s="31">
        <f>ROUND(X338*AH$5/1200,2)</f>
        <v>0.0</v>
      </c>
      <c r="AI339" s="31">
        <f>ROUND(Y338*AI$5/1200,2)</f>
        <v>0.0</v>
      </c>
      <c r="AJ339" s="31">
        <f>ROUND(Z338*AJ$5/1200,2)</f>
        <v>0.0</v>
      </c>
      <c r="AK339" s="31">
        <f>ROUND(AA338*AK$5/1200,2)</f>
        <v>0.0</v>
      </c>
      <c r="AL339" s="31">
        <f>MIN(AL$5,R338+AB339)</f>
        <v>0.0</v>
      </c>
      <c r="AM339" s="31">
        <f>MIN(AM$5,S338+AC339)</f>
        <v>0.0</v>
      </c>
      <c r="AN339" s="31">
        <f>MIN(AN$5,T338+AD339)</f>
        <v>0.0</v>
      </c>
      <c r="AO339" s="31">
        <f>MIN(AO$5,U338+AE339)</f>
        <v>0.0</v>
      </c>
      <c r="AP339" s="31">
        <f>MIN(AP$5,V338+AF339)</f>
        <v>0.0</v>
      </c>
      <c r="AQ339" s="31">
        <f>MIN(AQ$5,W338+AG339)</f>
        <v>0.0</v>
      </c>
      <c r="AR339" s="31">
        <f>MIN(AR$5,X338+AH339)</f>
        <v>0.0</v>
      </c>
      <c r="AS339" s="31">
        <f>MIN(AS$5,Y338+AI339)</f>
        <v>0.0</v>
      </c>
      <c r="AT339" s="31">
        <f>MIN(AT$5,Z338+AJ339)</f>
        <v>0.0</v>
      </c>
      <c r="AU339" s="31">
        <f>MIN(AU$5,AA338+AK339)</f>
        <v>0.0</v>
      </c>
    </row>
    <row r="340">
      <c r="A340" s="25" t="str">
        <f>IF(F339&gt;0.005,335,"")</f>
        <v/>
      </c>
      <c r="B340" s="33" t="str">
        <f>IF(A340="","",EDATE(Долги!$D$5,334))</f>
        <v/>
      </c>
      <c r="C340" s="31">
        <f>SUM(H340:Q340)</f>
        <v>0.0</v>
      </c>
      <c r="D340" s="31">
        <f>SUM(AB340:AK340)</f>
        <v>0.0</v>
      </c>
      <c r="E340" s="31">
        <f>C340-D340</f>
        <v>0.0</v>
      </c>
      <c r="F340" s="31">
        <f>SUM(R340:AA340)</f>
        <v>0.0</v>
      </c>
      <c r="G340" s="34" t="str">
        <f>IF(OR(A340="",$F$5&lt;=0),"",REPT("█",ROUND(20*F340/$F$5,0)))</f>
        <v/>
      </c>
      <c r="H340" s="31">
        <f>AL340+MIN(R339+AB340-AL340,MAX(0,ROUND(Долги!$D$19-SUM($AL340:$AU340),2)))</f>
        <v>0.0</v>
      </c>
      <c r="I340" s="31">
        <f>AM340+MIN(S339+AC340-AM340,MAX(0,ROUND(ROUND(Долги!$D$19-SUM($AL340:$AU340),2)-(SUM($H340:H340)-SUM($AL340:AL340)),2)))</f>
        <v>0.0</v>
      </c>
      <c r="J340" s="31">
        <f>AN340+MIN(T339+AD340-AN340,MAX(0,ROUND(ROUND(Долги!$D$19-SUM($AL340:$AU340),2)-(SUM($H340:I340)-SUM($AL340:AM340)),2)))</f>
        <v>0.0</v>
      </c>
      <c r="K340" s="31">
        <f>AO340+MIN(U339+AE340-AO340,MAX(0,ROUND(ROUND(Долги!$D$19-SUM($AL340:$AU340),2)-(SUM($H340:J340)-SUM($AL340:AN340)),2)))</f>
        <v>0.0</v>
      </c>
      <c r="L340" s="31">
        <f>AP340+MIN(V339+AF340-AP340,MAX(0,ROUND(ROUND(Долги!$D$19-SUM($AL340:$AU340),2)-(SUM($H340:K340)-SUM($AL340:AO340)),2)))</f>
        <v>0.0</v>
      </c>
      <c r="M340" s="31">
        <f>AQ340+MIN(W339+AG340-AQ340,MAX(0,ROUND(ROUND(Долги!$D$19-SUM($AL340:$AU340),2)-(SUM($H340:L340)-SUM($AL340:AP340)),2)))</f>
        <v>0.0</v>
      </c>
      <c r="N340" s="31">
        <f>AR340+MIN(X339+AH340-AR340,MAX(0,ROUND(ROUND(Долги!$D$19-SUM($AL340:$AU340),2)-(SUM($H340:M340)-SUM($AL340:AQ340)),2)))</f>
        <v>0.0</v>
      </c>
      <c r="O340" s="31">
        <f>AS340+MIN(Y339+AI340-AS340,MAX(0,ROUND(ROUND(Долги!$D$19-SUM($AL340:$AU340),2)-(SUM($H340:N340)-SUM($AL340:AR340)),2)))</f>
        <v>0.0</v>
      </c>
      <c r="P340" s="31">
        <f>AT340+MIN(Z339+AJ340-AT340,MAX(0,ROUND(ROUND(Долги!$D$19-SUM($AL340:$AU340),2)-(SUM($H340:O340)-SUM($AL340:AS340)),2)))</f>
        <v>0.0</v>
      </c>
      <c r="Q340" s="31">
        <f>AU340+MIN(AA339+AK340-AU340,MAX(0,ROUND(ROUND(Долги!$D$19-SUM($AL340:$AU340),2)-(SUM($H340:P340)-SUM($AL340:AT340)),2)))</f>
        <v>0.0</v>
      </c>
      <c r="R340" s="31">
        <f>IF(R339+AB340-H340&lt;=0.01,0,ROUND(R339+AB340-H340,2))</f>
        <v>0.0</v>
      </c>
      <c r="S340" s="31">
        <f>IF(S339+AC340-I340&lt;=0.01,0,ROUND(S339+AC340-I340,2))</f>
        <v>0.0</v>
      </c>
      <c r="T340" s="31">
        <f>IF(T339+AD340-J340&lt;=0.01,0,ROUND(T339+AD340-J340,2))</f>
        <v>0.0</v>
      </c>
      <c r="U340" s="31">
        <f>IF(U339+AE340-K340&lt;=0.01,0,ROUND(U339+AE340-K340,2))</f>
        <v>0.0</v>
      </c>
      <c r="V340" s="31">
        <f>IF(V339+AF340-L340&lt;=0.01,0,ROUND(V339+AF340-L340,2))</f>
        <v>0.0</v>
      </c>
      <c r="W340" s="31">
        <f>IF(W339+AG340-M340&lt;=0.01,0,ROUND(W339+AG340-M340,2))</f>
        <v>0.0</v>
      </c>
      <c r="X340" s="31">
        <f>IF(X339+AH340-N340&lt;=0.01,0,ROUND(X339+AH340-N340,2))</f>
        <v>0.0</v>
      </c>
      <c r="Y340" s="31">
        <f>IF(Y339+AI340-O340&lt;=0.01,0,ROUND(Y339+AI340-O340,2))</f>
        <v>0.0</v>
      </c>
      <c r="Z340" s="31">
        <f>IF(Z339+AJ340-P340&lt;=0.01,0,ROUND(Z339+AJ340-P340,2))</f>
        <v>0.0</v>
      </c>
      <c r="AA340" s="31">
        <f>IF(AA339+AK340-Q340&lt;=0.01,0,ROUND(AA339+AK340-Q340,2))</f>
        <v>0.0</v>
      </c>
      <c r="AB340" s="31">
        <f>ROUND(R339*AB$5/1200,2)</f>
        <v>0.0</v>
      </c>
      <c r="AC340" s="31">
        <f>ROUND(S339*AC$5/1200,2)</f>
        <v>0.0</v>
      </c>
      <c r="AD340" s="31">
        <f>ROUND(T339*AD$5/1200,2)</f>
        <v>0.0</v>
      </c>
      <c r="AE340" s="31">
        <f>ROUND(U339*AE$5/1200,2)</f>
        <v>0.0</v>
      </c>
      <c r="AF340" s="31">
        <f>ROUND(V339*AF$5/1200,2)</f>
        <v>0.0</v>
      </c>
      <c r="AG340" s="31">
        <f>ROUND(W339*AG$5/1200,2)</f>
        <v>0.0</v>
      </c>
      <c r="AH340" s="31">
        <f>ROUND(X339*AH$5/1200,2)</f>
        <v>0.0</v>
      </c>
      <c r="AI340" s="31">
        <f>ROUND(Y339*AI$5/1200,2)</f>
        <v>0.0</v>
      </c>
      <c r="AJ340" s="31">
        <f>ROUND(Z339*AJ$5/1200,2)</f>
        <v>0.0</v>
      </c>
      <c r="AK340" s="31">
        <f>ROUND(AA339*AK$5/1200,2)</f>
        <v>0.0</v>
      </c>
      <c r="AL340" s="31">
        <f>MIN(AL$5,R339+AB340)</f>
        <v>0.0</v>
      </c>
      <c r="AM340" s="31">
        <f>MIN(AM$5,S339+AC340)</f>
        <v>0.0</v>
      </c>
      <c r="AN340" s="31">
        <f>MIN(AN$5,T339+AD340)</f>
        <v>0.0</v>
      </c>
      <c r="AO340" s="31">
        <f>MIN(AO$5,U339+AE340)</f>
        <v>0.0</v>
      </c>
      <c r="AP340" s="31">
        <f>MIN(AP$5,V339+AF340)</f>
        <v>0.0</v>
      </c>
      <c r="AQ340" s="31">
        <f>MIN(AQ$5,W339+AG340)</f>
        <v>0.0</v>
      </c>
      <c r="AR340" s="31">
        <f>MIN(AR$5,X339+AH340)</f>
        <v>0.0</v>
      </c>
      <c r="AS340" s="31">
        <f>MIN(AS$5,Y339+AI340)</f>
        <v>0.0</v>
      </c>
      <c r="AT340" s="31">
        <f>MIN(AT$5,Z339+AJ340)</f>
        <v>0.0</v>
      </c>
      <c r="AU340" s="31">
        <f>MIN(AU$5,AA339+AK340)</f>
        <v>0.0</v>
      </c>
    </row>
    <row r="341">
      <c r="A341" s="25" t="str">
        <f>IF(F340&gt;0.005,336,"")</f>
        <v/>
      </c>
      <c r="B341" s="33" t="str">
        <f>IF(A341="","",EDATE(Долги!$D$5,335))</f>
        <v/>
      </c>
      <c r="C341" s="31">
        <f>SUM(H341:Q341)</f>
        <v>0.0</v>
      </c>
      <c r="D341" s="31">
        <f>SUM(AB341:AK341)</f>
        <v>0.0</v>
      </c>
      <c r="E341" s="31">
        <f>C341-D341</f>
        <v>0.0</v>
      </c>
      <c r="F341" s="31">
        <f>SUM(R341:AA341)</f>
        <v>0.0</v>
      </c>
      <c r="G341" s="34" t="str">
        <f>IF(OR(A341="",$F$5&lt;=0),"",REPT("█",ROUND(20*F341/$F$5,0)))</f>
        <v/>
      </c>
      <c r="H341" s="31">
        <f>AL341+MIN(R340+AB341-AL341,MAX(0,ROUND(Долги!$D$19-SUM($AL341:$AU341),2)))</f>
        <v>0.0</v>
      </c>
      <c r="I341" s="31">
        <f>AM341+MIN(S340+AC341-AM341,MAX(0,ROUND(ROUND(Долги!$D$19-SUM($AL341:$AU341),2)-(SUM($H341:H341)-SUM($AL341:AL341)),2)))</f>
        <v>0.0</v>
      </c>
      <c r="J341" s="31">
        <f>AN341+MIN(T340+AD341-AN341,MAX(0,ROUND(ROUND(Долги!$D$19-SUM($AL341:$AU341),2)-(SUM($H341:I341)-SUM($AL341:AM341)),2)))</f>
        <v>0.0</v>
      </c>
      <c r="K341" s="31">
        <f>AO341+MIN(U340+AE341-AO341,MAX(0,ROUND(ROUND(Долги!$D$19-SUM($AL341:$AU341),2)-(SUM($H341:J341)-SUM($AL341:AN341)),2)))</f>
        <v>0.0</v>
      </c>
      <c r="L341" s="31">
        <f>AP341+MIN(V340+AF341-AP341,MAX(0,ROUND(ROUND(Долги!$D$19-SUM($AL341:$AU341),2)-(SUM($H341:K341)-SUM($AL341:AO341)),2)))</f>
        <v>0.0</v>
      </c>
      <c r="M341" s="31">
        <f>AQ341+MIN(W340+AG341-AQ341,MAX(0,ROUND(ROUND(Долги!$D$19-SUM($AL341:$AU341),2)-(SUM($H341:L341)-SUM($AL341:AP341)),2)))</f>
        <v>0.0</v>
      </c>
      <c r="N341" s="31">
        <f>AR341+MIN(X340+AH341-AR341,MAX(0,ROUND(ROUND(Долги!$D$19-SUM($AL341:$AU341),2)-(SUM($H341:M341)-SUM($AL341:AQ341)),2)))</f>
        <v>0.0</v>
      </c>
      <c r="O341" s="31">
        <f>AS341+MIN(Y340+AI341-AS341,MAX(0,ROUND(ROUND(Долги!$D$19-SUM($AL341:$AU341),2)-(SUM($H341:N341)-SUM($AL341:AR341)),2)))</f>
        <v>0.0</v>
      </c>
      <c r="P341" s="31">
        <f>AT341+MIN(Z340+AJ341-AT341,MAX(0,ROUND(ROUND(Долги!$D$19-SUM($AL341:$AU341),2)-(SUM($H341:O341)-SUM($AL341:AS341)),2)))</f>
        <v>0.0</v>
      </c>
      <c r="Q341" s="31">
        <f>AU341+MIN(AA340+AK341-AU341,MAX(0,ROUND(ROUND(Долги!$D$19-SUM($AL341:$AU341),2)-(SUM($H341:P341)-SUM($AL341:AT341)),2)))</f>
        <v>0.0</v>
      </c>
      <c r="R341" s="31">
        <f>IF(R340+AB341-H341&lt;=0.01,0,ROUND(R340+AB341-H341,2))</f>
        <v>0.0</v>
      </c>
      <c r="S341" s="31">
        <f>IF(S340+AC341-I341&lt;=0.01,0,ROUND(S340+AC341-I341,2))</f>
        <v>0.0</v>
      </c>
      <c r="T341" s="31">
        <f>IF(T340+AD341-J341&lt;=0.01,0,ROUND(T340+AD341-J341,2))</f>
        <v>0.0</v>
      </c>
      <c r="U341" s="31">
        <f>IF(U340+AE341-K341&lt;=0.01,0,ROUND(U340+AE341-K341,2))</f>
        <v>0.0</v>
      </c>
      <c r="V341" s="31">
        <f>IF(V340+AF341-L341&lt;=0.01,0,ROUND(V340+AF341-L341,2))</f>
        <v>0.0</v>
      </c>
      <c r="W341" s="31">
        <f>IF(W340+AG341-M341&lt;=0.01,0,ROUND(W340+AG341-M341,2))</f>
        <v>0.0</v>
      </c>
      <c r="X341" s="31">
        <f>IF(X340+AH341-N341&lt;=0.01,0,ROUND(X340+AH341-N341,2))</f>
        <v>0.0</v>
      </c>
      <c r="Y341" s="31">
        <f>IF(Y340+AI341-O341&lt;=0.01,0,ROUND(Y340+AI341-O341,2))</f>
        <v>0.0</v>
      </c>
      <c r="Z341" s="31">
        <f>IF(Z340+AJ341-P341&lt;=0.01,0,ROUND(Z340+AJ341-P341,2))</f>
        <v>0.0</v>
      </c>
      <c r="AA341" s="31">
        <f>IF(AA340+AK341-Q341&lt;=0.01,0,ROUND(AA340+AK341-Q341,2))</f>
        <v>0.0</v>
      </c>
      <c r="AB341" s="31">
        <f>ROUND(R340*AB$5/1200,2)</f>
        <v>0.0</v>
      </c>
      <c r="AC341" s="31">
        <f>ROUND(S340*AC$5/1200,2)</f>
        <v>0.0</v>
      </c>
      <c r="AD341" s="31">
        <f>ROUND(T340*AD$5/1200,2)</f>
        <v>0.0</v>
      </c>
      <c r="AE341" s="31">
        <f>ROUND(U340*AE$5/1200,2)</f>
        <v>0.0</v>
      </c>
      <c r="AF341" s="31">
        <f>ROUND(V340*AF$5/1200,2)</f>
        <v>0.0</v>
      </c>
      <c r="AG341" s="31">
        <f>ROUND(W340*AG$5/1200,2)</f>
        <v>0.0</v>
      </c>
      <c r="AH341" s="31">
        <f>ROUND(X340*AH$5/1200,2)</f>
        <v>0.0</v>
      </c>
      <c r="AI341" s="31">
        <f>ROUND(Y340*AI$5/1200,2)</f>
        <v>0.0</v>
      </c>
      <c r="AJ341" s="31">
        <f>ROUND(Z340*AJ$5/1200,2)</f>
        <v>0.0</v>
      </c>
      <c r="AK341" s="31">
        <f>ROUND(AA340*AK$5/1200,2)</f>
        <v>0.0</v>
      </c>
      <c r="AL341" s="31">
        <f>MIN(AL$5,R340+AB341)</f>
        <v>0.0</v>
      </c>
      <c r="AM341" s="31">
        <f>MIN(AM$5,S340+AC341)</f>
        <v>0.0</v>
      </c>
      <c r="AN341" s="31">
        <f>MIN(AN$5,T340+AD341)</f>
        <v>0.0</v>
      </c>
      <c r="AO341" s="31">
        <f>MIN(AO$5,U340+AE341)</f>
        <v>0.0</v>
      </c>
      <c r="AP341" s="31">
        <f>MIN(AP$5,V340+AF341)</f>
        <v>0.0</v>
      </c>
      <c r="AQ341" s="31">
        <f>MIN(AQ$5,W340+AG341)</f>
        <v>0.0</v>
      </c>
      <c r="AR341" s="31">
        <f>MIN(AR$5,X340+AH341)</f>
        <v>0.0</v>
      </c>
      <c r="AS341" s="31">
        <f>MIN(AS$5,Y340+AI341)</f>
        <v>0.0</v>
      </c>
      <c r="AT341" s="31">
        <f>MIN(AT$5,Z340+AJ341)</f>
        <v>0.0</v>
      </c>
      <c r="AU341" s="31">
        <f>MIN(AU$5,AA340+AK341)</f>
        <v>0.0</v>
      </c>
    </row>
    <row r="342">
      <c r="A342" s="25" t="str">
        <f>IF(F341&gt;0.005,337,"")</f>
        <v/>
      </c>
      <c r="B342" s="33" t="str">
        <f>IF(A342="","",EDATE(Долги!$D$5,336))</f>
        <v/>
      </c>
      <c r="C342" s="31">
        <f>SUM(H342:Q342)</f>
        <v>0.0</v>
      </c>
      <c r="D342" s="31">
        <f>SUM(AB342:AK342)</f>
        <v>0.0</v>
      </c>
      <c r="E342" s="31">
        <f>C342-D342</f>
        <v>0.0</v>
      </c>
      <c r="F342" s="31">
        <f>SUM(R342:AA342)</f>
        <v>0.0</v>
      </c>
      <c r="G342" s="34" t="str">
        <f>IF(OR(A342="",$F$5&lt;=0),"",REPT("█",ROUND(20*F342/$F$5,0)))</f>
        <v/>
      </c>
      <c r="H342" s="31">
        <f>AL342+MIN(R341+AB342-AL342,MAX(0,ROUND(Долги!$D$19-SUM($AL342:$AU342),2)))</f>
        <v>0.0</v>
      </c>
      <c r="I342" s="31">
        <f>AM342+MIN(S341+AC342-AM342,MAX(0,ROUND(ROUND(Долги!$D$19-SUM($AL342:$AU342),2)-(SUM($H342:H342)-SUM($AL342:AL342)),2)))</f>
        <v>0.0</v>
      </c>
      <c r="J342" s="31">
        <f>AN342+MIN(T341+AD342-AN342,MAX(0,ROUND(ROUND(Долги!$D$19-SUM($AL342:$AU342),2)-(SUM($H342:I342)-SUM($AL342:AM342)),2)))</f>
        <v>0.0</v>
      </c>
      <c r="K342" s="31">
        <f>AO342+MIN(U341+AE342-AO342,MAX(0,ROUND(ROUND(Долги!$D$19-SUM($AL342:$AU342),2)-(SUM($H342:J342)-SUM($AL342:AN342)),2)))</f>
        <v>0.0</v>
      </c>
      <c r="L342" s="31">
        <f>AP342+MIN(V341+AF342-AP342,MAX(0,ROUND(ROUND(Долги!$D$19-SUM($AL342:$AU342),2)-(SUM($H342:K342)-SUM($AL342:AO342)),2)))</f>
        <v>0.0</v>
      </c>
      <c r="M342" s="31">
        <f>AQ342+MIN(W341+AG342-AQ342,MAX(0,ROUND(ROUND(Долги!$D$19-SUM($AL342:$AU342),2)-(SUM($H342:L342)-SUM($AL342:AP342)),2)))</f>
        <v>0.0</v>
      </c>
      <c r="N342" s="31">
        <f>AR342+MIN(X341+AH342-AR342,MAX(0,ROUND(ROUND(Долги!$D$19-SUM($AL342:$AU342),2)-(SUM($H342:M342)-SUM($AL342:AQ342)),2)))</f>
        <v>0.0</v>
      </c>
      <c r="O342" s="31">
        <f>AS342+MIN(Y341+AI342-AS342,MAX(0,ROUND(ROUND(Долги!$D$19-SUM($AL342:$AU342),2)-(SUM($H342:N342)-SUM($AL342:AR342)),2)))</f>
        <v>0.0</v>
      </c>
      <c r="P342" s="31">
        <f>AT342+MIN(Z341+AJ342-AT342,MAX(0,ROUND(ROUND(Долги!$D$19-SUM($AL342:$AU342),2)-(SUM($H342:O342)-SUM($AL342:AS342)),2)))</f>
        <v>0.0</v>
      </c>
      <c r="Q342" s="31">
        <f>AU342+MIN(AA341+AK342-AU342,MAX(0,ROUND(ROUND(Долги!$D$19-SUM($AL342:$AU342),2)-(SUM($H342:P342)-SUM($AL342:AT342)),2)))</f>
        <v>0.0</v>
      </c>
      <c r="R342" s="31">
        <f>IF(R341+AB342-H342&lt;=0.01,0,ROUND(R341+AB342-H342,2))</f>
        <v>0.0</v>
      </c>
      <c r="S342" s="31">
        <f>IF(S341+AC342-I342&lt;=0.01,0,ROUND(S341+AC342-I342,2))</f>
        <v>0.0</v>
      </c>
      <c r="T342" s="31">
        <f>IF(T341+AD342-J342&lt;=0.01,0,ROUND(T341+AD342-J342,2))</f>
        <v>0.0</v>
      </c>
      <c r="U342" s="31">
        <f>IF(U341+AE342-K342&lt;=0.01,0,ROUND(U341+AE342-K342,2))</f>
        <v>0.0</v>
      </c>
      <c r="V342" s="31">
        <f>IF(V341+AF342-L342&lt;=0.01,0,ROUND(V341+AF342-L342,2))</f>
        <v>0.0</v>
      </c>
      <c r="W342" s="31">
        <f>IF(W341+AG342-M342&lt;=0.01,0,ROUND(W341+AG342-M342,2))</f>
        <v>0.0</v>
      </c>
      <c r="X342" s="31">
        <f>IF(X341+AH342-N342&lt;=0.01,0,ROUND(X341+AH342-N342,2))</f>
        <v>0.0</v>
      </c>
      <c r="Y342" s="31">
        <f>IF(Y341+AI342-O342&lt;=0.01,0,ROUND(Y341+AI342-O342,2))</f>
        <v>0.0</v>
      </c>
      <c r="Z342" s="31">
        <f>IF(Z341+AJ342-P342&lt;=0.01,0,ROUND(Z341+AJ342-P342,2))</f>
        <v>0.0</v>
      </c>
      <c r="AA342" s="31">
        <f>IF(AA341+AK342-Q342&lt;=0.01,0,ROUND(AA341+AK342-Q342,2))</f>
        <v>0.0</v>
      </c>
      <c r="AB342" s="31">
        <f>ROUND(R341*AB$5/1200,2)</f>
        <v>0.0</v>
      </c>
      <c r="AC342" s="31">
        <f>ROUND(S341*AC$5/1200,2)</f>
        <v>0.0</v>
      </c>
      <c r="AD342" s="31">
        <f>ROUND(T341*AD$5/1200,2)</f>
        <v>0.0</v>
      </c>
      <c r="AE342" s="31">
        <f>ROUND(U341*AE$5/1200,2)</f>
        <v>0.0</v>
      </c>
      <c r="AF342" s="31">
        <f>ROUND(V341*AF$5/1200,2)</f>
        <v>0.0</v>
      </c>
      <c r="AG342" s="31">
        <f>ROUND(W341*AG$5/1200,2)</f>
        <v>0.0</v>
      </c>
      <c r="AH342" s="31">
        <f>ROUND(X341*AH$5/1200,2)</f>
        <v>0.0</v>
      </c>
      <c r="AI342" s="31">
        <f>ROUND(Y341*AI$5/1200,2)</f>
        <v>0.0</v>
      </c>
      <c r="AJ342" s="31">
        <f>ROUND(Z341*AJ$5/1200,2)</f>
        <v>0.0</v>
      </c>
      <c r="AK342" s="31">
        <f>ROUND(AA341*AK$5/1200,2)</f>
        <v>0.0</v>
      </c>
      <c r="AL342" s="31">
        <f>MIN(AL$5,R341+AB342)</f>
        <v>0.0</v>
      </c>
      <c r="AM342" s="31">
        <f>MIN(AM$5,S341+AC342)</f>
        <v>0.0</v>
      </c>
      <c r="AN342" s="31">
        <f>MIN(AN$5,T341+AD342)</f>
        <v>0.0</v>
      </c>
      <c r="AO342" s="31">
        <f>MIN(AO$5,U341+AE342)</f>
        <v>0.0</v>
      </c>
      <c r="AP342" s="31">
        <f>MIN(AP$5,V341+AF342)</f>
        <v>0.0</v>
      </c>
      <c r="AQ342" s="31">
        <f>MIN(AQ$5,W341+AG342)</f>
        <v>0.0</v>
      </c>
      <c r="AR342" s="31">
        <f>MIN(AR$5,X341+AH342)</f>
        <v>0.0</v>
      </c>
      <c r="AS342" s="31">
        <f>MIN(AS$5,Y341+AI342)</f>
        <v>0.0</v>
      </c>
      <c r="AT342" s="31">
        <f>MIN(AT$5,Z341+AJ342)</f>
        <v>0.0</v>
      </c>
      <c r="AU342" s="31">
        <f>MIN(AU$5,AA341+AK342)</f>
        <v>0.0</v>
      </c>
    </row>
    <row r="343">
      <c r="A343" s="25" t="str">
        <f>IF(F342&gt;0.005,338,"")</f>
        <v/>
      </c>
      <c r="B343" s="33" t="str">
        <f>IF(A343="","",EDATE(Долги!$D$5,337))</f>
        <v/>
      </c>
      <c r="C343" s="31">
        <f>SUM(H343:Q343)</f>
        <v>0.0</v>
      </c>
      <c r="D343" s="31">
        <f>SUM(AB343:AK343)</f>
        <v>0.0</v>
      </c>
      <c r="E343" s="31">
        <f>C343-D343</f>
        <v>0.0</v>
      </c>
      <c r="F343" s="31">
        <f>SUM(R343:AA343)</f>
        <v>0.0</v>
      </c>
      <c r="G343" s="34" t="str">
        <f>IF(OR(A343="",$F$5&lt;=0),"",REPT("█",ROUND(20*F343/$F$5,0)))</f>
        <v/>
      </c>
      <c r="H343" s="31">
        <f>AL343+MIN(R342+AB343-AL343,MAX(0,ROUND(Долги!$D$19-SUM($AL343:$AU343),2)))</f>
        <v>0.0</v>
      </c>
      <c r="I343" s="31">
        <f>AM343+MIN(S342+AC343-AM343,MAX(0,ROUND(ROUND(Долги!$D$19-SUM($AL343:$AU343),2)-(SUM($H343:H343)-SUM($AL343:AL343)),2)))</f>
        <v>0.0</v>
      </c>
      <c r="J343" s="31">
        <f>AN343+MIN(T342+AD343-AN343,MAX(0,ROUND(ROUND(Долги!$D$19-SUM($AL343:$AU343),2)-(SUM($H343:I343)-SUM($AL343:AM343)),2)))</f>
        <v>0.0</v>
      </c>
      <c r="K343" s="31">
        <f>AO343+MIN(U342+AE343-AO343,MAX(0,ROUND(ROUND(Долги!$D$19-SUM($AL343:$AU343),2)-(SUM($H343:J343)-SUM($AL343:AN343)),2)))</f>
        <v>0.0</v>
      </c>
      <c r="L343" s="31">
        <f>AP343+MIN(V342+AF343-AP343,MAX(0,ROUND(ROUND(Долги!$D$19-SUM($AL343:$AU343),2)-(SUM($H343:K343)-SUM($AL343:AO343)),2)))</f>
        <v>0.0</v>
      </c>
      <c r="M343" s="31">
        <f>AQ343+MIN(W342+AG343-AQ343,MAX(0,ROUND(ROUND(Долги!$D$19-SUM($AL343:$AU343),2)-(SUM($H343:L343)-SUM($AL343:AP343)),2)))</f>
        <v>0.0</v>
      </c>
      <c r="N343" s="31">
        <f>AR343+MIN(X342+AH343-AR343,MAX(0,ROUND(ROUND(Долги!$D$19-SUM($AL343:$AU343),2)-(SUM($H343:M343)-SUM($AL343:AQ343)),2)))</f>
        <v>0.0</v>
      </c>
      <c r="O343" s="31">
        <f>AS343+MIN(Y342+AI343-AS343,MAX(0,ROUND(ROUND(Долги!$D$19-SUM($AL343:$AU343),2)-(SUM($H343:N343)-SUM($AL343:AR343)),2)))</f>
        <v>0.0</v>
      </c>
      <c r="P343" s="31">
        <f>AT343+MIN(Z342+AJ343-AT343,MAX(0,ROUND(ROUND(Долги!$D$19-SUM($AL343:$AU343),2)-(SUM($H343:O343)-SUM($AL343:AS343)),2)))</f>
        <v>0.0</v>
      </c>
      <c r="Q343" s="31">
        <f>AU343+MIN(AA342+AK343-AU343,MAX(0,ROUND(ROUND(Долги!$D$19-SUM($AL343:$AU343),2)-(SUM($H343:P343)-SUM($AL343:AT343)),2)))</f>
        <v>0.0</v>
      </c>
      <c r="R343" s="31">
        <f>IF(R342+AB343-H343&lt;=0.01,0,ROUND(R342+AB343-H343,2))</f>
        <v>0.0</v>
      </c>
      <c r="S343" s="31">
        <f>IF(S342+AC343-I343&lt;=0.01,0,ROUND(S342+AC343-I343,2))</f>
        <v>0.0</v>
      </c>
      <c r="T343" s="31">
        <f>IF(T342+AD343-J343&lt;=0.01,0,ROUND(T342+AD343-J343,2))</f>
        <v>0.0</v>
      </c>
      <c r="U343" s="31">
        <f>IF(U342+AE343-K343&lt;=0.01,0,ROUND(U342+AE343-K343,2))</f>
        <v>0.0</v>
      </c>
      <c r="V343" s="31">
        <f>IF(V342+AF343-L343&lt;=0.01,0,ROUND(V342+AF343-L343,2))</f>
        <v>0.0</v>
      </c>
      <c r="W343" s="31">
        <f>IF(W342+AG343-M343&lt;=0.01,0,ROUND(W342+AG343-M343,2))</f>
        <v>0.0</v>
      </c>
      <c r="X343" s="31">
        <f>IF(X342+AH343-N343&lt;=0.01,0,ROUND(X342+AH343-N343,2))</f>
        <v>0.0</v>
      </c>
      <c r="Y343" s="31">
        <f>IF(Y342+AI343-O343&lt;=0.01,0,ROUND(Y342+AI343-O343,2))</f>
        <v>0.0</v>
      </c>
      <c r="Z343" s="31">
        <f>IF(Z342+AJ343-P343&lt;=0.01,0,ROUND(Z342+AJ343-P343,2))</f>
        <v>0.0</v>
      </c>
      <c r="AA343" s="31">
        <f>IF(AA342+AK343-Q343&lt;=0.01,0,ROUND(AA342+AK343-Q343,2))</f>
        <v>0.0</v>
      </c>
      <c r="AB343" s="31">
        <f>ROUND(R342*AB$5/1200,2)</f>
        <v>0.0</v>
      </c>
      <c r="AC343" s="31">
        <f>ROUND(S342*AC$5/1200,2)</f>
        <v>0.0</v>
      </c>
      <c r="AD343" s="31">
        <f>ROUND(T342*AD$5/1200,2)</f>
        <v>0.0</v>
      </c>
      <c r="AE343" s="31">
        <f>ROUND(U342*AE$5/1200,2)</f>
        <v>0.0</v>
      </c>
      <c r="AF343" s="31">
        <f>ROUND(V342*AF$5/1200,2)</f>
        <v>0.0</v>
      </c>
      <c r="AG343" s="31">
        <f>ROUND(W342*AG$5/1200,2)</f>
        <v>0.0</v>
      </c>
      <c r="AH343" s="31">
        <f>ROUND(X342*AH$5/1200,2)</f>
        <v>0.0</v>
      </c>
      <c r="AI343" s="31">
        <f>ROUND(Y342*AI$5/1200,2)</f>
        <v>0.0</v>
      </c>
      <c r="AJ343" s="31">
        <f>ROUND(Z342*AJ$5/1200,2)</f>
        <v>0.0</v>
      </c>
      <c r="AK343" s="31">
        <f>ROUND(AA342*AK$5/1200,2)</f>
        <v>0.0</v>
      </c>
      <c r="AL343" s="31">
        <f>MIN(AL$5,R342+AB343)</f>
        <v>0.0</v>
      </c>
      <c r="AM343" s="31">
        <f>MIN(AM$5,S342+AC343)</f>
        <v>0.0</v>
      </c>
      <c r="AN343" s="31">
        <f>MIN(AN$5,T342+AD343)</f>
        <v>0.0</v>
      </c>
      <c r="AO343" s="31">
        <f>MIN(AO$5,U342+AE343)</f>
        <v>0.0</v>
      </c>
      <c r="AP343" s="31">
        <f>MIN(AP$5,V342+AF343)</f>
        <v>0.0</v>
      </c>
      <c r="AQ343" s="31">
        <f>MIN(AQ$5,W342+AG343)</f>
        <v>0.0</v>
      </c>
      <c r="AR343" s="31">
        <f>MIN(AR$5,X342+AH343)</f>
        <v>0.0</v>
      </c>
      <c r="AS343" s="31">
        <f>MIN(AS$5,Y342+AI343)</f>
        <v>0.0</v>
      </c>
      <c r="AT343" s="31">
        <f>MIN(AT$5,Z342+AJ343)</f>
        <v>0.0</v>
      </c>
      <c r="AU343" s="31">
        <f>MIN(AU$5,AA342+AK343)</f>
        <v>0.0</v>
      </c>
    </row>
    <row r="344">
      <c r="A344" s="25" t="str">
        <f>IF(F343&gt;0.005,339,"")</f>
        <v/>
      </c>
      <c r="B344" s="33" t="str">
        <f>IF(A344="","",EDATE(Долги!$D$5,338))</f>
        <v/>
      </c>
      <c r="C344" s="31">
        <f>SUM(H344:Q344)</f>
        <v>0.0</v>
      </c>
      <c r="D344" s="31">
        <f>SUM(AB344:AK344)</f>
        <v>0.0</v>
      </c>
      <c r="E344" s="31">
        <f>C344-D344</f>
        <v>0.0</v>
      </c>
      <c r="F344" s="31">
        <f>SUM(R344:AA344)</f>
        <v>0.0</v>
      </c>
      <c r="G344" s="34" t="str">
        <f>IF(OR(A344="",$F$5&lt;=0),"",REPT("█",ROUND(20*F344/$F$5,0)))</f>
        <v/>
      </c>
      <c r="H344" s="31">
        <f>AL344+MIN(R343+AB344-AL344,MAX(0,ROUND(Долги!$D$19-SUM($AL344:$AU344),2)))</f>
        <v>0.0</v>
      </c>
      <c r="I344" s="31">
        <f>AM344+MIN(S343+AC344-AM344,MAX(0,ROUND(ROUND(Долги!$D$19-SUM($AL344:$AU344),2)-(SUM($H344:H344)-SUM($AL344:AL344)),2)))</f>
        <v>0.0</v>
      </c>
      <c r="J344" s="31">
        <f>AN344+MIN(T343+AD344-AN344,MAX(0,ROUND(ROUND(Долги!$D$19-SUM($AL344:$AU344),2)-(SUM($H344:I344)-SUM($AL344:AM344)),2)))</f>
        <v>0.0</v>
      </c>
      <c r="K344" s="31">
        <f>AO344+MIN(U343+AE344-AO344,MAX(0,ROUND(ROUND(Долги!$D$19-SUM($AL344:$AU344),2)-(SUM($H344:J344)-SUM($AL344:AN344)),2)))</f>
        <v>0.0</v>
      </c>
      <c r="L344" s="31">
        <f>AP344+MIN(V343+AF344-AP344,MAX(0,ROUND(ROUND(Долги!$D$19-SUM($AL344:$AU344),2)-(SUM($H344:K344)-SUM($AL344:AO344)),2)))</f>
        <v>0.0</v>
      </c>
      <c r="M344" s="31">
        <f>AQ344+MIN(W343+AG344-AQ344,MAX(0,ROUND(ROUND(Долги!$D$19-SUM($AL344:$AU344),2)-(SUM($H344:L344)-SUM($AL344:AP344)),2)))</f>
        <v>0.0</v>
      </c>
      <c r="N344" s="31">
        <f>AR344+MIN(X343+AH344-AR344,MAX(0,ROUND(ROUND(Долги!$D$19-SUM($AL344:$AU344),2)-(SUM($H344:M344)-SUM($AL344:AQ344)),2)))</f>
        <v>0.0</v>
      </c>
      <c r="O344" s="31">
        <f>AS344+MIN(Y343+AI344-AS344,MAX(0,ROUND(ROUND(Долги!$D$19-SUM($AL344:$AU344),2)-(SUM($H344:N344)-SUM($AL344:AR344)),2)))</f>
        <v>0.0</v>
      </c>
      <c r="P344" s="31">
        <f>AT344+MIN(Z343+AJ344-AT344,MAX(0,ROUND(ROUND(Долги!$D$19-SUM($AL344:$AU344),2)-(SUM($H344:O344)-SUM($AL344:AS344)),2)))</f>
        <v>0.0</v>
      </c>
      <c r="Q344" s="31">
        <f>AU344+MIN(AA343+AK344-AU344,MAX(0,ROUND(ROUND(Долги!$D$19-SUM($AL344:$AU344),2)-(SUM($H344:P344)-SUM($AL344:AT344)),2)))</f>
        <v>0.0</v>
      </c>
      <c r="R344" s="31">
        <f>IF(R343+AB344-H344&lt;=0.01,0,ROUND(R343+AB344-H344,2))</f>
        <v>0.0</v>
      </c>
      <c r="S344" s="31">
        <f>IF(S343+AC344-I344&lt;=0.01,0,ROUND(S343+AC344-I344,2))</f>
        <v>0.0</v>
      </c>
      <c r="T344" s="31">
        <f>IF(T343+AD344-J344&lt;=0.01,0,ROUND(T343+AD344-J344,2))</f>
        <v>0.0</v>
      </c>
      <c r="U344" s="31">
        <f>IF(U343+AE344-K344&lt;=0.01,0,ROUND(U343+AE344-K344,2))</f>
        <v>0.0</v>
      </c>
      <c r="V344" s="31">
        <f>IF(V343+AF344-L344&lt;=0.01,0,ROUND(V343+AF344-L344,2))</f>
        <v>0.0</v>
      </c>
      <c r="W344" s="31">
        <f>IF(W343+AG344-M344&lt;=0.01,0,ROUND(W343+AG344-M344,2))</f>
        <v>0.0</v>
      </c>
      <c r="X344" s="31">
        <f>IF(X343+AH344-N344&lt;=0.01,0,ROUND(X343+AH344-N344,2))</f>
        <v>0.0</v>
      </c>
      <c r="Y344" s="31">
        <f>IF(Y343+AI344-O344&lt;=0.01,0,ROUND(Y343+AI344-O344,2))</f>
        <v>0.0</v>
      </c>
      <c r="Z344" s="31">
        <f>IF(Z343+AJ344-P344&lt;=0.01,0,ROUND(Z343+AJ344-P344,2))</f>
        <v>0.0</v>
      </c>
      <c r="AA344" s="31">
        <f>IF(AA343+AK344-Q344&lt;=0.01,0,ROUND(AA343+AK344-Q344,2))</f>
        <v>0.0</v>
      </c>
      <c r="AB344" s="31">
        <f>ROUND(R343*AB$5/1200,2)</f>
        <v>0.0</v>
      </c>
      <c r="AC344" s="31">
        <f>ROUND(S343*AC$5/1200,2)</f>
        <v>0.0</v>
      </c>
      <c r="AD344" s="31">
        <f>ROUND(T343*AD$5/1200,2)</f>
        <v>0.0</v>
      </c>
      <c r="AE344" s="31">
        <f>ROUND(U343*AE$5/1200,2)</f>
        <v>0.0</v>
      </c>
      <c r="AF344" s="31">
        <f>ROUND(V343*AF$5/1200,2)</f>
        <v>0.0</v>
      </c>
      <c r="AG344" s="31">
        <f>ROUND(W343*AG$5/1200,2)</f>
        <v>0.0</v>
      </c>
      <c r="AH344" s="31">
        <f>ROUND(X343*AH$5/1200,2)</f>
        <v>0.0</v>
      </c>
      <c r="AI344" s="31">
        <f>ROUND(Y343*AI$5/1200,2)</f>
        <v>0.0</v>
      </c>
      <c r="AJ344" s="31">
        <f>ROUND(Z343*AJ$5/1200,2)</f>
        <v>0.0</v>
      </c>
      <c r="AK344" s="31">
        <f>ROUND(AA343*AK$5/1200,2)</f>
        <v>0.0</v>
      </c>
      <c r="AL344" s="31">
        <f>MIN(AL$5,R343+AB344)</f>
        <v>0.0</v>
      </c>
      <c r="AM344" s="31">
        <f>MIN(AM$5,S343+AC344)</f>
        <v>0.0</v>
      </c>
      <c r="AN344" s="31">
        <f>MIN(AN$5,T343+AD344)</f>
        <v>0.0</v>
      </c>
      <c r="AO344" s="31">
        <f>MIN(AO$5,U343+AE344)</f>
        <v>0.0</v>
      </c>
      <c r="AP344" s="31">
        <f>MIN(AP$5,V343+AF344)</f>
        <v>0.0</v>
      </c>
      <c r="AQ344" s="31">
        <f>MIN(AQ$5,W343+AG344)</f>
        <v>0.0</v>
      </c>
      <c r="AR344" s="31">
        <f>MIN(AR$5,X343+AH344)</f>
        <v>0.0</v>
      </c>
      <c r="AS344" s="31">
        <f>MIN(AS$5,Y343+AI344)</f>
        <v>0.0</v>
      </c>
      <c r="AT344" s="31">
        <f>MIN(AT$5,Z343+AJ344)</f>
        <v>0.0</v>
      </c>
      <c r="AU344" s="31">
        <f>MIN(AU$5,AA343+AK344)</f>
        <v>0.0</v>
      </c>
    </row>
    <row r="345">
      <c r="A345" s="25" t="str">
        <f>IF(F344&gt;0.005,340,"")</f>
        <v/>
      </c>
      <c r="B345" s="33" t="str">
        <f>IF(A345="","",EDATE(Долги!$D$5,339))</f>
        <v/>
      </c>
      <c r="C345" s="31">
        <f>SUM(H345:Q345)</f>
        <v>0.0</v>
      </c>
      <c r="D345" s="31">
        <f>SUM(AB345:AK345)</f>
        <v>0.0</v>
      </c>
      <c r="E345" s="31">
        <f>C345-D345</f>
        <v>0.0</v>
      </c>
      <c r="F345" s="31">
        <f>SUM(R345:AA345)</f>
        <v>0.0</v>
      </c>
      <c r="G345" s="34" t="str">
        <f>IF(OR(A345="",$F$5&lt;=0),"",REPT("█",ROUND(20*F345/$F$5,0)))</f>
        <v/>
      </c>
      <c r="H345" s="31">
        <f>AL345+MIN(R344+AB345-AL345,MAX(0,ROUND(Долги!$D$19-SUM($AL345:$AU345),2)))</f>
        <v>0.0</v>
      </c>
      <c r="I345" s="31">
        <f>AM345+MIN(S344+AC345-AM345,MAX(0,ROUND(ROUND(Долги!$D$19-SUM($AL345:$AU345),2)-(SUM($H345:H345)-SUM($AL345:AL345)),2)))</f>
        <v>0.0</v>
      </c>
      <c r="J345" s="31">
        <f>AN345+MIN(T344+AD345-AN345,MAX(0,ROUND(ROUND(Долги!$D$19-SUM($AL345:$AU345),2)-(SUM($H345:I345)-SUM($AL345:AM345)),2)))</f>
        <v>0.0</v>
      </c>
      <c r="K345" s="31">
        <f>AO345+MIN(U344+AE345-AO345,MAX(0,ROUND(ROUND(Долги!$D$19-SUM($AL345:$AU345),2)-(SUM($H345:J345)-SUM($AL345:AN345)),2)))</f>
        <v>0.0</v>
      </c>
      <c r="L345" s="31">
        <f>AP345+MIN(V344+AF345-AP345,MAX(0,ROUND(ROUND(Долги!$D$19-SUM($AL345:$AU345),2)-(SUM($H345:K345)-SUM($AL345:AO345)),2)))</f>
        <v>0.0</v>
      </c>
      <c r="M345" s="31">
        <f>AQ345+MIN(W344+AG345-AQ345,MAX(0,ROUND(ROUND(Долги!$D$19-SUM($AL345:$AU345),2)-(SUM($H345:L345)-SUM($AL345:AP345)),2)))</f>
        <v>0.0</v>
      </c>
      <c r="N345" s="31">
        <f>AR345+MIN(X344+AH345-AR345,MAX(0,ROUND(ROUND(Долги!$D$19-SUM($AL345:$AU345),2)-(SUM($H345:M345)-SUM($AL345:AQ345)),2)))</f>
        <v>0.0</v>
      </c>
      <c r="O345" s="31">
        <f>AS345+MIN(Y344+AI345-AS345,MAX(0,ROUND(ROUND(Долги!$D$19-SUM($AL345:$AU345),2)-(SUM($H345:N345)-SUM($AL345:AR345)),2)))</f>
        <v>0.0</v>
      </c>
      <c r="P345" s="31">
        <f>AT345+MIN(Z344+AJ345-AT345,MAX(0,ROUND(ROUND(Долги!$D$19-SUM($AL345:$AU345),2)-(SUM($H345:O345)-SUM($AL345:AS345)),2)))</f>
        <v>0.0</v>
      </c>
      <c r="Q345" s="31">
        <f>AU345+MIN(AA344+AK345-AU345,MAX(0,ROUND(ROUND(Долги!$D$19-SUM($AL345:$AU345),2)-(SUM($H345:P345)-SUM($AL345:AT345)),2)))</f>
        <v>0.0</v>
      </c>
      <c r="R345" s="31">
        <f>IF(R344+AB345-H345&lt;=0.01,0,ROUND(R344+AB345-H345,2))</f>
        <v>0.0</v>
      </c>
      <c r="S345" s="31">
        <f>IF(S344+AC345-I345&lt;=0.01,0,ROUND(S344+AC345-I345,2))</f>
        <v>0.0</v>
      </c>
      <c r="T345" s="31">
        <f>IF(T344+AD345-J345&lt;=0.01,0,ROUND(T344+AD345-J345,2))</f>
        <v>0.0</v>
      </c>
      <c r="U345" s="31">
        <f>IF(U344+AE345-K345&lt;=0.01,0,ROUND(U344+AE345-K345,2))</f>
        <v>0.0</v>
      </c>
      <c r="V345" s="31">
        <f>IF(V344+AF345-L345&lt;=0.01,0,ROUND(V344+AF345-L345,2))</f>
        <v>0.0</v>
      </c>
      <c r="W345" s="31">
        <f>IF(W344+AG345-M345&lt;=0.01,0,ROUND(W344+AG345-M345,2))</f>
        <v>0.0</v>
      </c>
      <c r="X345" s="31">
        <f>IF(X344+AH345-N345&lt;=0.01,0,ROUND(X344+AH345-N345,2))</f>
        <v>0.0</v>
      </c>
      <c r="Y345" s="31">
        <f>IF(Y344+AI345-O345&lt;=0.01,0,ROUND(Y344+AI345-O345,2))</f>
        <v>0.0</v>
      </c>
      <c r="Z345" s="31">
        <f>IF(Z344+AJ345-P345&lt;=0.01,0,ROUND(Z344+AJ345-P345,2))</f>
        <v>0.0</v>
      </c>
      <c r="AA345" s="31">
        <f>IF(AA344+AK345-Q345&lt;=0.01,0,ROUND(AA344+AK345-Q345,2))</f>
        <v>0.0</v>
      </c>
      <c r="AB345" s="31">
        <f>ROUND(R344*AB$5/1200,2)</f>
        <v>0.0</v>
      </c>
      <c r="AC345" s="31">
        <f>ROUND(S344*AC$5/1200,2)</f>
        <v>0.0</v>
      </c>
      <c r="AD345" s="31">
        <f>ROUND(T344*AD$5/1200,2)</f>
        <v>0.0</v>
      </c>
      <c r="AE345" s="31">
        <f>ROUND(U344*AE$5/1200,2)</f>
        <v>0.0</v>
      </c>
      <c r="AF345" s="31">
        <f>ROUND(V344*AF$5/1200,2)</f>
        <v>0.0</v>
      </c>
      <c r="AG345" s="31">
        <f>ROUND(W344*AG$5/1200,2)</f>
        <v>0.0</v>
      </c>
      <c r="AH345" s="31">
        <f>ROUND(X344*AH$5/1200,2)</f>
        <v>0.0</v>
      </c>
      <c r="AI345" s="31">
        <f>ROUND(Y344*AI$5/1200,2)</f>
        <v>0.0</v>
      </c>
      <c r="AJ345" s="31">
        <f>ROUND(Z344*AJ$5/1200,2)</f>
        <v>0.0</v>
      </c>
      <c r="AK345" s="31">
        <f>ROUND(AA344*AK$5/1200,2)</f>
        <v>0.0</v>
      </c>
      <c r="AL345" s="31">
        <f>MIN(AL$5,R344+AB345)</f>
        <v>0.0</v>
      </c>
      <c r="AM345" s="31">
        <f>MIN(AM$5,S344+AC345)</f>
        <v>0.0</v>
      </c>
      <c r="AN345" s="31">
        <f>MIN(AN$5,T344+AD345)</f>
        <v>0.0</v>
      </c>
      <c r="AO345" s="31">
        <f>MIN(AO$5,U344+AE345)</f>
        <v>0.0</v>
      </c>
      <c r="AP345" s="31">
        <f>MIN(AP$5,V344+AF345)</f>
        <v>0.0</v>
      </c>
      <c r="AQ345" s="31">
        <f>MIN(AQ$5,W344+AG345)</f>
        <v>0.0</v>
      </c>
      <c r="AR345" s="31">
        <f>MIN(AR$5,X344+AH345)</f>
        <v>0.0</v>
      </c>
      <c r="AS345" s="31">
        <f>MIN(AS$5,Y344+AI345)</f>
        <v>0.0</v>
      </c>
      <c r="AT345" s="31">
        <f>MIN(AT$5,Z344+AJ345)</f>
        <v>0.0</v>
      </c>
      <c r="AU345" s="31">
        <f>MIN(AU$5,AA344+AK345)</f>
        <v>0.0</v>
      </c>
    </row>
    <row r="346">
      <c r="A346" s="25" t="str">
        <f>IF(F345&gt;0.005,341,"")</f>
        <v/>
      </c>
      <c r="B346" s="33" t="str">
        <f>IF(A346="","",EDATE(Долги!$D$5,340))</f>
        <v/>
      </c>
      <c r="C346" s="31">
        <f>SUM(H346:Q346)</f>
        <v>0.0</v>
      </c>
      <c r="D346" s="31">
        <f>SUM(AB346:AK346)</f>
        <v>0.0</v>
      </c>
      <c r="E346" s="31">
        <f>C346-D346</f>
        <v>0.0</v>
      </c>
      <c r="F346" s="31">
        <f>SUM(R346:AA346)</f>
        <v>0.0</v>
      </c>
      <c r="G346" s="34" t="str">
        <f>IF(OR(A346="",$F$5&lt;=0),"",REPT("█",ROUND(20*F346/$F$5,0)))</f>
        <v/>
      </c>
      <c r="H346" s="31">
        <f>AL346+MIN(R345+AB346-AL346,MAX(0,ROUND(Долги!$D$19-SUM($AL346:$AU346),2)))</f>
        <v>0.0</v>
      </c>
      <c r="I346" s="31">
        <f>AM346+MIN(S345+AC346-AM346,MAX(0,ROUND(ROUND(Долги!$D$19-SUM($AL346:$AU346),2)-(SUM($H346:H346)-SUM($AL346:AL346)),2)))</f>
        <v>0.0</v>
      </c>
      <c r="J346" s="31">
        <f>AN346+MIN(T345+AD346-AN346,MAX(0,ROUND(ROUND(Долги!$D$19-SUM($AL346:$AU346),2)-(SUM($H346:I346)-SUM($AL346:AM346)),2)))</f>
        <v>0.0</v>
      </c>
      <c r="K346" s="31">
        <f>AO346+MIN(U345+AE346-AO346,MAX(0,ROUND(ROUND(Долги!$D$19-SUM($AL346:$AU346),2)-(SUM($H346:J346)-SUM($AL346:AN346)),2)))</f>
        <v>0.0</v>
      </c>
      <c r="L346" s="31">
        <f>AP346+MIN(V345+AF346-AP346,MAX(0,ROUND(ROUND(Долги!$D$19-SUM($AL346:$AU346),2)-(SUM($H346:K346)-SUM($AL346:AO346)),2)))</f>
        <v>0.0</v>
      </c>
      <c r="M346" s="31">
        <f>AQ346+MIN(W345+AG346-AQ346,MAX(0,ROUND(ROUND(Долги!$D$19-SUM($AL346:$AU346),2)-(SUM($H346:L346)-SUM($AL346:AP346)),2)))</f>
        <v>0.0</v>
      </c>
      <c r="N346" s="31">
        <f>AR346+MIN(X345+AH346-AR346,MAX(0,ROUND(ROUND(Долги!$D$19-SUM($AL346:$AU346),2)-(SUM($H346:M346)-SUM($AL346:AQ346)),2)))</f>
        <v>0.0</v>
      </c>
      <c r="O346" s="31">
        <f>AS346+MIN(Y345+AI346-AS346,MAX(0,ROUND(ROUND(Долги!$D$19-SUM($AL346:$AU346),2)-(SUM($H346:N346)-SUM($AL346:AR346)),2)))</f>
        <v>0.0</v>
      </c>
      <c r="P346" s="31">
        <f>AT346+MIN(Z345+AJ346-AT346,MAX(0,ROUND(ROUND(Долги!$D$19-SUM($AL346:$AU346),2)-(SUM($H346:O346)-SUM($AL346:AS346)),2)))</f>
        <v>0.0</v>
      </c>
      <c r="Q346" s="31">
        <f>AU346+MIN(AA345+AK346-AU346,MAX(0,ROUND(ROUND(Долги!$D$19-SUM($AL346:$AU346),2)-(SUM($H346:P346)-SUM($AL346:AT346)),2)))</f>
        <v>0.0</v>
      </c>
      <c r="R346" s="31">
        <f>IF(R345+AB346-H346&lt;=0.01,0,ROUND(R345+AB346-H346,2))</f>
        <v>0.0</v>
      </c>
      <c r="S346" s="31">
        <f>IF(S345+AC346-I346&lt;=0.01,0,ROUND(S345+AC346-I346,2))</f>
        <v>0.0</v>
      </c>
      <c r="T346" s="31">
        <f>IF(T345+AD346-J346&lt;=0.01,0,ROUND(T345+AD346-J346,2))</f>
        <v>0.0</v>
      </c>
      <c r="U346" s="31">
        <f>IF(U345+AE346-K346&lt;=0.01,0,ROUND(U345+AE346-K346,2))</f>
        <v>0.0</v>
      </c>
      <c r="V346" s="31">
        <f>IF(V345+AF346-L346&lt;=0.01,0,ROUND(V345+AF346-L346,2))</f>
        <v>0.0</v>
      </c>
      <c r="W346" s="31">
        <f>IF(W345+AG346-M346&lt;=0.01,0,ROUND(W345+AG346-M346,2))</f>
        <v>0.0</v>
      </c>
      <c r="X346" s="31">
        <f>IF(X345+AH346-N346&lt;=0.01,0,ROUND(X345+AH346-N346,2))</f>
        <v>0.0</v>
      </c>
      <c r="Y346" s="31">
        <f>IF(Y345+AI346-O346&lt;=0.01,0,ROUND(Y345+AI346-O346,2))</f>
        <v>0.0</v>
      </c>
      <c r="Z346" s="31">
        <f>IF(Z345+AJ346-P346&lt;=0.01,0,ROUND(Z345+AJ346-P346,2))</f>
        <v>0.0</v>
      </c>
      <c r="AA346" s="31">
        <f>IF(AA345+AK346-Q346&lt;=0.01,0,ROUND(AA345+AK346-Q346,2))</f>
        <v>0.0</v>
      </c>
      <c r="AB346" s="31">
        <f>ROUND(R345*AB$5/1200,2)</f>
        <v>0.0</v>
      </c>
      <c r="AC346" s="31">
        <f>ROUND(S345*AC$5/1200,2)</f>
        <v>0.0</v>
      </c>
      <c r="AD346" s="31">
        <f>ROUND(T345*AD$5/1200,2)</f>
        <v>0.0</v>
      </c>
      <c r="AE346" s="31">
        <f>ROUND(U345*AE$5/1200,2)</f>
        <v>0.0</v>
      </c>
      <c r="AF346" s="31">
        <f>ROUND(V345*AF$5/1200,2)</f>
        <v>0.0</v>
      </c>
      <c r="AG346" s="31">
        <f>ROUND(W345*AG$5/1200,2)</f>
        <v>0.0</v>
      </c>
      <c r="AH346" s="31">
        <f>ROUND(X345*AH$5/1200,2)</f>
        <v>0.0</v>
      </c>
      <c r="AI346" s="31">
        <f>ROUND(Y345*AI$5/1200,2)</f>
        <v>0.0</v>
      </c>
      <c r="AJ346" s="31">
        <f>ROUND(Z345*AJ$5/1200,2)</f>
        <v>0.0</v>
      </c>
      <c r="AK346" s="31">
        <f>ROUND(AA345*AK$5/1200,2)</f>
        <v>0.0</v>
      </c>
      <c r="AL346" s="31">
        <f>MIN(AL$5,R345+AB346)</f>
        <v>0.0</v>
      </c>
      <c r="AM346" s="31">
        <f>MIN(AM$5,S345+AC346)</f>
        <v>0.0</v>
      </c>
      <c r="AN346" s="31">
        <f>MIN(AN$5,T345+AD346)</f>
        <v>0.0</v>
      </c>
      <c r="AO346" s="31">
        <f>MIN(AO$5,U345+AE346)</f>
        <v>0.0</v>
      </c>
      <c r="AP346" s="31">
        <f>MIN(AP$5,V345+AF346)</f>
        <v>0.0</v>
      </c>
      <c r="AQ346" s="31">
        <f>MIN(AQ$5,W345+AG346)</f>
        <v>0.0</v>
      </c>
      <c r="AR346" s="31">
        <f>MIN(AR$5,X345+AH346)</f>
        <v>0.0</v>
      </c>
      <c r="AS346" s="31">
        <f>MIN(AS$5,Y345+AI346)</f>
        <v>0.0</v>
      </c>
      <c r="AT346" s="31">
        <f>MIN(AT$5,Z345+AJ346)</f>
        <v>0.0</v>
      </c>
      <c r="AU346" s="31">
        <f>MIN(AU$5,AA345+AK346)</f>
        <v>0.0</v>
      </c>
    </row>
    <row r="347">
      <c r="A347" s="25" t="str">
        <f>IF(F346&gt;0.005,342,"")</f>
        <v/>
      </c>
      <c r="B347" s="33" t="str">
        <f>IF(A347="","",EDATE(Долги!$D$5,341))</f>
        <v/>
      </c>
      <c r="C347" s="31">
        <f>SUM(H347:Q347)</f>
        <v>0.0</v>
      </c>
      <c r="D347" s="31">
        <f>SUM(AB347:AK347)</f>
        <v>0.0</v>
      </c>
      <c r="E347" s="31">
        <f>C347-D347</f>
        <v>0.0</v>
      </c>
      <c r="F347" s="31">
        <f>SUM(R347:AA347)</f>
        <v>0.0</v>
      </c>
      <c r="G347" s="34" t="str">
        <f>IF(OR(A347="",$F$5&lt;=0),"",REPT("█",ROUND(20*F347/$F$5,0)))</f>
        <v/>
      </c>
      <c r="H347" s="31">
        <f>AL347+MIN(R346+AB347-AL347,MAX(0,ROUND(Долги!$D$19-SUM($AL347:$AU347),2)))</f>
        <v>0.0</v>
      </c>
      <c r="I347" s="31">
        <f>AM347+MIN(S346+AC347-AM347,MAX(0,ROUND(ROUND(Долги!$D$19-SUM($AL347:$AU347),2)-(SUM($H347:H347)-SUM($AL347:AL347)),2)))</f>
        <v>0.0</v>
      </c>
      <c r="J347" s="31">
        <f>AN347+MIN(T346+AD347-AN347,MAX(0,ROUND(ROUND(Долги!$D$19-SUM($AL347:$AU347),2)-(SUM($H347:I347)-SUM($AL347:AM347)),2)))</f>
        <v>0.0</v>
      </c>
      <c r="K347" s="31">
        <f>AO347+MIN(U346+AE347-AO347,MAX(0,ROUND(ROUND(Долги!$D$19-SUM($AL347:$AU347),2)-(SUM($H347:J347)-SUM($AL347:AN347)),2)))</f>
        <v>0.0</v>
      </c>
      <c r="L347" s="31">
        <f>AP347+MIN(V346+AF347-AP347,MAX(0,ROUND(ROUND(Долги!$D$19-SUM($AL347:$AU347),2)-(SUM($H347:K347)-SUM($AL347:AO347)),2)))</f>
        <v>0.0</v>
      </c>
      <c r="M347" s="31">
        <f>AQ347+MIN(W346+AG347-AQ347,MAX(0,ROUND(ROUND(Долги!$D$19-SUM($AL347:$AU347),2)-(SUM($H347:L347)-SUM($AL347:AP347)),2)))</f>
        <v>0.0</v>
      </c>
      <c r="N347" s="31">
        <f>AR347+MIN(X346+AH347-AR347,MAX(0,ROUND(ROUND(Долги!$D$19-SUM($AL347:$AU347),2)-(SUM($H347:M347)-SUM($AL347:AQ347)),2)))</f>
        <v>0.0</v>
      </c>
      <c r="O347" s="31">
        <f>AS347+MIN(Y346+AI347-AS347,MAX(0,ROUND(ROUND(Долги!$D$19-SUM($AL347:$AU347),2)-(SUM($H347:N347)-SUM($AL347:AR347)),2)))</f>
        <v>0.0</v>
      </c>
      <c r="P347" s="31">
        <f>AT347+MIN(Z346+AJ347-AT347,MAX(0,ROUND(ROUND(Долги!$D$19-SUM($AL347:$AU347),2)-(SUM($H347:O347)-SUM($AL347:AS347)),2)))</f>
        <v>0.0</v>
      </c>
      <c r="Q347" s="31">
        <f>AU347+MIN(AA346+AK347-AU347,MAX(0,ROUND(ROUND(Долги!$D$19-SUM($AL347:$AU347),2)-(SUM($H347:P347)-SUM($AL347:AT347)),2)))</f>
        <v>0.0</v>
      </c>
      <c r="R347" s="31">
        <f>IF(R346+AB347-H347&lt;=0.01,0,ROUND(R346+AB347-H347,2))</f>
        <v>0.0</v>
      </c>
      <c r="S347" s="31">
        <f>IF(S346+AC347-I347&lt;=0.01,0,ROUND(S346+AC347-I347,2))</f>
        <v>0.0</v>
      </c>
      <c r="T347" s="31">
        <f>IF(T346+AD347-J347&lt;=0.01,0,ROUND(T346+AD347-J347,2))</f>
        <v>0.0</v>
      </c>
      <c r="U347" s="31">
        <f>IF(U346+AE347-K347&lt;=0.01,0,ROUND(U346+AE347-K347,2))</f>
        <v>0.0</v>
      </c>
      <c r="V347" s="31">
        <f>IF(V346+AF347-L347&lt;=0.01,0,ROUND(V346+AF347-L347,2))</f>
        <v>0.0</v>
      </c>
      <c r="W347" s="31">
        <f>IF(W346+AG347-M347&lt;=0.01,0,ROUND(W346+AG347-M347,2))</f>
        <v>0.0</v>
      </c>
      <c r="X347" s="31">
        <f>IF(X346+AH347-N347&lt;=0.01,0,ROUND(X346+AH347-N347,2))</f>
        <v>0.0</v>
      </c>
      <c r="Y347" s="31">
        <f>IF(Y346+AI347-O347&lt;=0.01,0,ROUND(Y346+AI347-O347,2))</f>
        <v>0.0</v>
      </c>
      <c r="Z347" s="31">
        <f>IF(Z346+AJ347-P347&lt;=0.01,0,ROUND(Z346+AJ347-P347,2))</f>
        <v>0.0</v>
      </c>
      <c r="AA347" s="31">
        <f>IF(AA346+AK347-Q347&lt;=0.01,0,ROUND(AA346+AK347-Q347,2))</f>
        <v>0.0</v>
      </c>
      <c r="AB347" s="31">
        <f>ROUND(R346*AB$5/1200,2)</f>
        <v>0.0</v>
      </c>
      <c r="AC347" s="31">
        <f>ROUND(S346*AC$5/1200,2)</f>
        <v>0.0</v>
      </c>
      <c r="AD347" s="31">
        <f>ROUND(T346*AD$5/1200,2)</f>
        <v>0.0</v>
      </c>
      <c r="AE347" s="31">
        <f>ROUND(U346*AE$5/1200,2)</f>
        <v>0.0</v>
      </c>
      <c r="AF347" s="31">
        <f>ROUND(V346*AF$5/1200,2)</f>
        <v>0.0</v>
      </c>
      <c r="AG347" s="31">
        <f>ROUND(W346*AG$5/1200,2)</f>
        <v>0.0</v>
      </c>
      <c r="AH347" s="31">
        <f>ROUND(X346*AH$5/1200,2)</f>
        <v>0.0</v>
      </c>
      <c r="AI347" s="31">
        <f>ROUND(Y346*AI$5/1200,2)</f>
        <v>0.0</v>
      </c>
      <c r="AJ347" s="31">
        <f>ROUND(Z346*AJ$5/1200,2)</f>
        <v>0.0</v>
      </c>
      <c r="AK347" s="31">
        <f>ROUND(AA346*AK$5/1200,2)</f>
        <v>0.0</v>
      </c>
      <c r="AL347" s="31">
        <f>MIN(AL$5,R346+AB347)</f>
        <v>0.0</v>
      </c>
      <c r="AM347" s="31">
        <f>MIN(AM$5,S346+AC347)</f>
        <v>0.0</v>
      </c>
      <c r="AN347" s="31">
        <f>MIN(AN$5,T346+AD347)</f>
        <v>0.0</v>
      </c>
      <c r="AO347" s="31">
        <f>MIN(AO$5,U346+AE347)</f>
        <v>0.0</v>
      </c>
      <c r="AP347" s="31">
        <f>MIN(AP$5,V346+AF347)</f>
        <v>0.0</v>
      </c>
      <c r="AQ347" s="31">
        <f>MIN(AQ$5,W346+AG347)</f>
        <v>0.0</v>
      </c>
      <c r="AR347" s="31">
        <f>MIN(AR$5,X346+AH347)</f>
        <v>0.0</v>
      </c>
      <c r="AS347" s="31">
        <f>MIN(AS$5,Y346+AI347)</f>
        <v>0.0</v>
      </c>
      <c r="AT347" s="31">
        <f>MIN(AT$5,Z346+AJ347)</f>
        <v>0.0</v>
      </c>
      <c r="AU347" s="31">
        <f>MIN(AU$5,AA346+AK347)</f>
        <v>0.0</v>
      </c>
    </row>
    <row r="348">
      <c r="A348" s="25" t="str">
        <f>IF(F347&gt;0.005,343,"")</f>
        <v/>
      </c>
      <c r="B348" s="33" t="str">
        <f>IF(A348="","",EDATE(Долги!$D$5,342))</f>
        <v/>
      </c>
      <c r="C348" s="31">
        <f>SUM(H348:Q348)</f>
        <v>0.0</v>
      </c>
      <c r="D348" s="31">
        <f>SUM(AB348:AK348)</f>
        <v>0.0</v>
      </c>
      <c r="E348" s="31">
        <f>C348-D348</f>
        <v>0.0</v>
      </c>
      <c r="F348" s="31">
        <f>SUM(R348:AA348)</f>
        <v>0.0</v>
      </c>
      <c r="G348" s="34" t="str">
        <f>IF(OR(A348="",$F$5&lt;=0),"",REPT("█",ROUND(20*F348/$F$5,0)))</f>
        <v/>
      </c>
      <c r="H348" s="31">
        <f>AL348+MIN(R347+AB348-AL348,MAX(0,ROUND(Долги!$D$19-SUM($AL348:$AU348),2)))</f>
        <v>0.0</v>
      </c>
      <c r="I348" s="31">
        <f>AM348+MIN(S347+AC348-AM348,MAX(0,ROUND(ROUND(Долги!$D$19-SUM($AL348:$AU348),2)-(SUM($H348:H348)-SUM($AL348:AL348)),2)))</f>
        <v>0.0</v>
      </c>
      <c r="J348" s="31">
        <f>AN348+MIN(T347+AD348-AN348,MAX(0,ROUND(ROUND(Долги!$D$19-SUM($AL348:$AU348),2)-(SUM($H348:I348)-SUM($AL348:AM348)),2)))</f>
        <v>0.0</v>
      </c>
      <c r="K348" s="31">
        <f>AO348+MIN(U347+AE348-AO348,MAX(0,ROUND(ROUND(Долги!$D$19-SUM($AL348:$AU348),2)-(SUM($H348:J348)-SUM($AL348:AN348)),2)))</f>
        <v>0.0</v>
      </c>
      <c r="L348" s="31">
        <f>AP348+MIN(V347+AF348-AP348,MAX(0,ROUND(ROUND(Долги!$D$19-SUM($AL348:$AU348),2)-(SUM($H348:K348)-SUM($AL348:AO348)),2)))</f>
        <v>0.0</v>
      </c>
      <c r="M348" s="31">
        <f>AQ348+MIN(W347+AG348-AQ348,MAX(0,ROUND(ROUND(Долги!$D$19-SUM($AL348:$AU348),2)-(SUM($H348:L348)-SUM($AL348:AP348)),2)))</f>
        <v>0.0</v>
      </c>
      <c r="N348" s="31">
        <f>AR348+MIN(X347+AH348-AR348,MAX(0,ROUND(ROUND(Долги!$D$19-SUM($AL348:$AU348),2)-(SUM($H348:M348)-SUM($AL348:AQ348)),2)))</f>
        <v>0.0</v>
      </c>
      <c r="O348" s="31">
        <f>AS348+MIN(Y347+AI348-AS348,MAX(0,ROUND(ROUND(Долги!$D$19-SUM($AL348:$AU348),2)-(SUM($H348:N348)-SUM($AL348:AR348)),2)))</f>
        <v>0.0</v>
      </c>
      <c r="P348" s="31">
        <f>AT348+MIN(Z347+AJ348-AT348,MAX(0,ROUND(ROUND(Долги!$D$19-SUM($AL348:$AU348),2)-(SUM($H348:O348)-SUM($AL348:AS348)),2)))</f>
        <v>0.0</v>
      </c>
      <c r="Q348" s="31">
        <f>AU348+MIN(AA347+AK348-AU348,MAX(0,ROUND(ROUND(Долги!$D$19-SUM($AL348:$AU348),2)-(SUM($H348:P348)-SUM($AL348:AT348)),2)))</f>
        <v>0.0</v>
      </c>
      <c r="R348" s="31">
        <f>IF(R347+AB348-H348&lt;=0.01,0,ROUND(R347+AB348-H348,2))</f>
        <v>0.0</v>
      </c>
      <c r="S348" s="31">
        <f>IF(S347+AC348-I348&lt;=0.01,0,ROUND(S347+AC348-I348,2))</f>
        <v>0.0</v>
      </c>
      <c r="T348" s="31">
        <f>IF(T347+AD348-J348&lt;=0.01,0,ROUND(T347+AD348-J348,2))</f>
        <v>0.0</v>
      </c>
      <c r="U348" s="31">
        <f>IF(U347+AE348-K348&lt;=0.01,0,ROUND(U347+AE348-K348,2))</f>
        <v>0.0</v>
      </c>
      <c r="V348" s="31">
        <f>IF(V347+AF348-L348&lt;=0.01,0,ROUND(V347+AF348-L348,2))</f>
        <v>0.0</v>
      </c>
      <c r="W348" s="31">
        <f>IF(W347+AG348-M348&lt;=0.01,0,ROUND(W347+AG348-M348,2))</f>
        <v>0.0</v>
      </c>
      <c r="X348" s="31">
        <f>IF(X347+AH348-N348&lt;=0.01,0,ROUND(X347+AH348-N348,2))</f>
        <v>0.0</v>
      </c>
      <c r="Y348" s="31">
        <f>IF(Y347+AI348-O348&lt;=0.01,0,ROUND(Y347+AI348-O348,2))</f>
        <v>0.0</v>
      </c>
      <c r="Z348" s="31">
        <f>IF(Z347+AJ348-P348&lt;=0.01,0,ROUND(Z347+AJ348-P348,2))</f>
        <v>0.0</v>
      </c>
      <c r="AA348" s="31">
        <f>IF(AA347+AK348-Q348&lt;=0.01,0,ROUND(AA347+AK348-Q348,2))</f>
        <v>0.0</v>
      </c>
      <c r="AB348" s="31">
        <f>ROUND(R347*AB$5/1200,2)</f>
        <v>0.0</v>
      </c>
      <c r="AC348" s="31">
        <f>ROUND(S347*AC$5/1200,2)</f>
        <v>0.0</v>
      </c>
      <c r="AD348" s="31">
        <f>ROUND(T347*AD$5/1200,2)</f>
        <v>0.0</v>
      </c>
      <c r="AE348" s="31">
        <f>ROUND(U347*AE$5/1200,2)</f>
        <v>0.0</v>
      </c>
      <c r="AF348" s="31">
        <f>ROUND(V347*AF$5/1200,2)</f>
        <v>0.0</v>
      </c>
      <c r="AG348" s="31">
        <f>ROUND(W347*AG$5/1200,2)</f>
        <v>0.0</v>
      </c>
      <c r="AH348" s="31">
        <f>ROUND(X347*AH$5/1200,2)</f>
        <v>0.0</v>
      </c>
      <c r="AI348" s="31">
        <f>ROUND(Y347*AI$5/1200,2)</f>
        <v>0.0</v>
      </c>
      <c r="AJ348" s="31">
        <f>ROUND(Z347*AJ$5/1200,2)</f>
        <v>0.0</v>
      </c>
      <c r="AK348" s="31">
        <f>ROUND(AA347*AK$5/1200,2)</f>
        <v>0.0</v>
      </c>
      <c r="AL348" s="31">
        <f>MIN(AL$5,R347+AB348)</f>
        <v>0.0</v>
      </c>
      <c r="AM348" s="31">
        <f>MIN(AM$5,S347+AC348)</f>
        <v>0.0</v>
      </c>
      <c r="AN348" s="31">
        <f>MIN(AN$5,T347+AD348)</f>
        <v>0.0</v>
      </c>
      <c r="AO348" s="31">
        <f>MIN(AO$5,U347+AE348)</f>
        <v>0.0</v>
      </c>
      <c r="AP348" s="31">
        <f>MIN(AP$5,V347+AF348)</f>
        <v>0.0</v>
      </c>
      <c r="AQ348" s="31">
        <f>MIN(AQ$5,W347+AG348)</f>
        <v>0.0</v>
      </c>
      <c r="AR348" s="31">
        <f>MIN(AR$5,X347+AH348)</f>
        <v>0.0</v>
      </c>
      <c r="AS348" s="31">
        <f>MIN(AS$5,Y347+AI348)</f>
        <v>0.0</v>
      </c>
      <c r="AT348" s="31">
        <f>MIN(AT$5,Z347+AJ348)</f>
        <v>0.0</v>
      </c>
      <c r="AU348" s="31">
        <f>MIN(AU$5,AA347+AK348)</f>
        <v>0.0</v>
      </c>
    </row>
    <row r="349">
      <c r="A349" s="25" t="str">
        <f>IF(F348&gt;0.005,344,"")</f>
        <v/>
      </c>
      <c r="B349" s="33" t="str">
        <f>IF(A349="","",EDATE(Долги!$D$5,343))</f>
        <v/>
      </c>
      <c r="C349" s="31">
        <f>SUM(H349:Q349)</f>
        <v>0.0</v>
      </c>
      <c r="D349" s="31">
        <f>SUM(AB349:AK349)</f>
        <v>0.0</v>
      </c>
      <c r="E349" s="31">
        <f>C349-D349</f>
        <v>0.0</v>
      </c>
      <c r="F349" s="31">
        <f>SUM(R349:AA349)</f>
        <v>0.0</v>
      </c>
      <c r="G349" s="34" t="str">
        <f>IF(OR(A349="",$F$5&lt;=0),"",REPT("█",ROUND(20*F349/$F$5,0)))</f>
        <v/>
      </c>
      <c r="H349" s="31">
        <f>AL349+MIN(R348+AB349-AL349,MAX(0,ROUND(Долги!$D$19-SUM($AL349:$AU349),2)))</f>
        <v>0.0</v>
      </c>
      <c r="I349" s="31">
        <f>AM349+MIN(S348+AC349-AM349,MAX(0,ROUND(ROUND(Долги!$D$19-SUM($AL349:$AU349),2)-(SUM($H349:H349)-SUM($AL349:AL349)),2)))</f>
        <v>0.0</v>
      </c>
      <c r="J349" s="31">
        <f>AN349+MIN(T348+AD349-AN349,MAX(0,ROUND(ROUND(Долги!$D$19-SUM($AL349:$AU349),2)-(SUM($H349:I349)-SUM($AL349:AM349)),2)))</f>
        <v>0.0</v>
      </c>
      <c r="K349" s="31">
        <f>AO349+MIN(U348+AE349-AO349,MAX(0,ROUND(ROUND(Долги!$D$19-SUM($AL349:$AU349),2)-(SUM($H349:J349)-SUM($AL349:AN349)),2)))</f>
        <v>0.0</v>
      </c>
      <c r="L349" s="31">
        <f>AP349+MIN(V348+AF349-AP349,MAX(0,ROUND(ROUND(Долги!$D$19-SUM($AL349:$AU349),2)-(SUM($H349:K349)-SUM($AL349:AO349)),2)))</f>
        <v>0.0</v>
      </c>
      <c r="M349" s="31">
        <f>AQ349+MIN(W348+AG349-AQ349,MAX(0,ROUND(ROUND(Долги!$D$19-SUM($AL349:$AU349),2)-(SUM($H349:L349)-SUM($AL349:AP349)),2)))</f>
        <v>0.0</v>
      </c>
      <c r="N349" s="31">
        <f>AR349+MIN(X348+AH349-AR349,MAX(0,ROUND(ROUND(Долги!$D$19-SUM($AL349:$AU349),2)-(SUM($H349:M349)-SUM($AL349:AQ349)),2)))</f>
        <v>0.0</v>
      </c>
      <c r="O349" s="31">
        <f>AS349+MIN(Y348+AI349-AS349,MAX(0,ROUND(ROUND(Долги!$D$19-SUM($AL349:$AU349),2)-(SUM($H349:N349)-SUM($AL349:AR349)),2)))</f>
        <v>0.0</v>
      </c>
      <c r="P349" s="31">
        <f>AT349+MIN(Z348+AJ349-AT349,MAX(0,ROUND(ROUND(Долги!$D$19-SUM($AL349:$AU349),2)-(SUM($H349:O349)-SUM($AL349:AS349)),2)))</f>
        <v>0.0</v>
      </c>
      <c r="Q349" s="31">
        <f>AU349+MIN(AA348+AK349-AU349,MAX(0,ROUND(ROUND(Долги!$D$19-SUM($AL349:$AU349),2)-(SUM($H349:P349)-SUM($AL349:AT349)),2)))</f>
        <v>0.0</v>
      </c>
      <c r="R349" s="31">
        <f>IF(R348+AB349-H349&lt;=0.01,0,ROUND(R348+AB349-H349,2))</f>
        <v>0.0</v>
      </c>
      <c r="S349" s="31">
        <f>IF(S348+AC349-I349&lt;=0.01,0,ROUND(S348+AC349-I349,2))</f>
        <v>0.0</v>
      </c>
      <c r="T349" s="31">
        <f>IF(T348+AD349-J349&lt;=0.01,0,ROUND(T348+AD349-J349,2))</f>
        <v>0.0</v>
      </c>
      <c r="U349" s="31">
        <f>IF(U348+AE349-K349&lt;=0.01,0,ROUND(U348+AE349-K349,2))</f>
        <v>0.0</v>
      </c>
      <c r="V349" s="31">
        <f>IF(V348+AF349-L349&lt;=0.01,0,ROUND(V348+AF349-L349,2))</f>
        <v>0.0</v>
      </c>
      <c r="W349" s="31">
        <f>IF(W348+AG349-M349&lt;=0.01,0,ROUND(W348+AG349-M349,2))</f>
        <v>0.0</v>
      </c>
      <c r="X349" s="31">
        <f>IF(X348+AH349-N349&lt;=0.01,0,ROUND(X348+AH349-N349,2))</f>
        <v>0.0</v>
      </c>
      <c r="Y349" s="31">
        <f>IF(Y348+AI349-O349&lt;=0.01,0,ROUND(Y348+AI349-O349,2))</f>
        <v>0.0</v>
      </c>
      <c r="Z349" s="31">
        <f>IF(Z348+AJ349-P349&lt;=0.01,0,ROUND(Z348+AJ349-P349,2))</f>
        <v>0.0</v>
      </c>
      <c r="AA349" s="31">
        <f>IF(AA348+AK349-Q349&lt;=0.01,0,ROUND(AA348+AK349-Q349,2))</f>
        <v>0.0</v>
      </c>
      <c r="AB349" s="31">
        <f>ROUND(R348*AB$5/1200,2)</f>
        <v>0.0</v>
      </c>
      <c r="AC349" s="31">
        <f>ROUND(S348*AC$5/1200,2)</f>
        <v>0.0</v>
      </c>
      <c r="AD349" s="31">
        <f>ROUND(T348*AD$5/1200,2)</f>
        <v>0.0</v>
      </c>
      <c r="AE349" s="31">
        <f>ROUND(U348*AE$5/1200,2)</f>
        <v>0.0</v>
      </c>
      <c r="AF349" s="31">
        <f>ROUND(V348*AF$5/1200,2)</f>
        <v>0.0</v>
      </c>
      <c r="AG349" s="31">
        <f>ROUND(W348*AG$5/1200,2)</f>
        <v>0.0</v>
      </c>
      <c r="AH349" s="31">
        <f>ROUND(X348*AH$5/1200,2)</f>
        <v>0.0</v>
      </c>
      <c r="AI349" s="31">
        <f>ROUND(Y348*AI$5/1200,2)</f>
        <v>0.0</v>
      </c>
      <c r="AJ349" s="31">
        <f>ROUND(Z348*AJ$5/1200,2)</f>
        <v>0.0</v>
      </c>
      <c r="AK349" s="31">
        <f>ROUND(AA348*AK$5/1200,2)</f>
        <v>0.0</v>
      </c>
      <c r="AL349" s="31">
        <f>MIN(AL$5,R348+AB349)</f>
        <v>0.0</v>
      </c>
      <c r="AM349" s="31">
        <f>MIN(AM$5,S348+AC349)</f>
        <v>0.0</v>
      </c>
      <c r="AN349" s="31">
        <f>MIN(AN$5,T348+AD349)</f>
        <v>0.0</v>
      </c>
      <c r="AO349" s="31">
        <f>MIN(AO$5,U348+AE349)</f>
        <v>0.0</v>
      </c>
      <c r="AP349" s="31">
        <f>MIN(AP$5,V348+AF349)</f>
        <v>0.0</v>
      </c>
      <c r="AQ349" s="31">
        <f>MIN(AQ$5,W348+AG349)</f>
        <v>0.0</v>
      </c>
      <c r="AR349" s="31">
        <f>MIN(AR$5,X348+AH349)</f>
        <v>0.0</v>
      </c>
      <c r="AS349" s="31">
        <f>MIN(AS$5,Y348+AI349)</f>
        <v>0.0</v>
      </c>
      <c r="AT349" s="31">
        <f>MIN(AT$5,Z348+AJ349)</f>
        <v>0.0</v>
      </c>
      <c r="AU349" s="31">
        <f>MIN(AU$5,AA348+AK349)</f>
        <v>0.0</v>
      </c>
    </row>
    <row r="350">
      <c r="A350" s="25" t="str">
        <f>IF(F349&gt;0.005,345,"")</f>
        <v/>
      </c>
      <c r="B350" s="33" t="str">
        <f>IF(A350="","",EDATE(Долги!$D$5,344))</f>
        <v/>
      </c>
      <c r="C350" s="31">
        <f>SUM(H350:Q350)</f>
        <v>0.0</v>
      </c>
      <c r="D350" s="31">
        <f>SUM(AB350:AK350)</f>
        <v>0.0</v>
      </c>
      <c r="E350" s="31">
        <f>C350-D350</f>
        <v>0.0</v>
      </c>
      <c r="F350" s="31">
        <f>SUM(R350:AA350)</f>
        <v>0.0</v>
      </c>
      <c r="G350" s="34" t="str">
        <f>IF(OR(A350="",$F$5&lt;=0),"",REPT("█",ROUND(20*F350/$F$5,0)))</f>
        <v/>
      </c>
      <c r="H350" s="31">
        <f>AL350+MIN(R349+AB350-AL350,MAX(0,ROUND(Долги!$D$19-SUM($AL350:$AU350),2)))</f>
        <v>0.0</v>
      </c>
      <c r="I350" s="31">
        <f>AM350+MIN(S349+AC350-AM350,MAX(0,ROUND(ROUND(Долги!$D$19-SUM($AL350:$AU350),2)-(SUM($H350:H350)-SUM($AL350:AL350)),2)))</f>
        <v>0.0</v>
      </c>
      <c r="J350" s="31">
        <f>AN350+MIN(T349+AD350-AN350,MAX(0,ROUND(ROUND(Долги!$D$19-SUM($AL350:$AU350),2)-(SUM($H350:I350)-SUM($AL350:AM350)),2)))</f>
        <v>0.0</v>
      </c>
      <c r="K350" s="31">
        <f>AO350+MIN(U349+AE350-AO350,MAX(0,ROUND(ROUND(Долги!$D$19-SUM($AL350:$AU350),2)-(SUM($H350:J350)-SUM($AL350:AN350)),2)))</f>
        <v>0.0</v>
      </c>
      <c r="L350" s="31">
        <f>AP350+MIN(V349+AF350-AP350,MAX(0,ROUND(ROUND(Долги!$D$19-SUM($AL350:$AU350),2)-(SUM($H350:K350)-SUM($AL350:AO350)),2)))</f>
        <v>0.0</v>
      </c>
      <c r="M350" s="31">
        <f>AQ350+MIN(W349+AG350-AQ350,MAX(0,ROUND(ROUND(Долги!$D$19-SUM($AL350:$AU350),2)-(SUM($H350:L350)-SUM($AL350:AP350)),2)))</f>
        <v>0.0</v>
      </c>
      <c r="N350" s="31">
        <f>AR350+MIN(X349+AH350-AR350,MAX(0,ROUND(ROUND(Долги!$D$19-SUM($AL350:$AU350),2)-(SUM($H350:M350)-SUM($AL350:AQ350)),2)))</f>
        <v>0.0</v>
      </c>
      <c r="O350" s="31">
        <f>AS350+MIN(Y349+AI350-AS350,MAX(0,ROUND(ROUND(Долги!$D$19-SUM($AL350:$AU350),2)-(SUM($H350:N350)-SUM($AL350:AR350)),2)))</f>
        <v>0.0</v>
      </c>
      <c r="P350" s="31">
        <f>AT350+MIN(Z349+AJ350-AT350,MAX(0,ROUND(ROUND(Долги!$D$19-SUM($AL350:$AU350),2)-(SUM($H350:O350)-SUM($AL350:AS350)),2)))</f>
        <v>0.0</v>
      </c>
      <c r="Q350" s="31">
        <f>AU350+MIN(AA349+AK350-AU350,MAX(0,ROUND(ROUND(Долги!$D$19-SUM($AL350:$AU350),2)-(SUM($H350:P350)-SUM($AL350:AT350)),2)))</f>
        <v>0.0</v>
      </c>
      <c r="R350" s="31">
        <f>IF(R349+AB350-H350&lt;=0.01,0,ROUND(R349+AB350-H350,2))</f>
        <v>0.0</v>
      </c>
      <c r="S350" s="31">
        <f>IF(S349+AC350-I350&lt;=0.01,0,ROUND(S349+AC350-I350,2))</f>
        <v>0.0</v>
      </c>
      <c r="T350" s="31">
        <f>IF(T349+AD350-J350&lt;=0.01,0,ROUND(T349+AD350-J350,2))</f>
        <v>0.0</v>
      </c>
      <c r="U350" s="31">
        <f>IF(U349+AE350-K350&lt;=0.01,0,ROUND(U349+AE350-K350,2))</f>
        <v>0.0</v>
      </c>
      <c r="V350" s="31">
        <f>IF(V349+AF350-L350&lt;=0.01,0,ROUND(V349+AF350-L350,2))</f>
        <v>0.0</v>
      </c>
      <c r="W350" s="31">
        <f>IF(W349+AG350-M350&lt;=0.01,0,ROUND(W349+AG350-M350,2))</f>
        <v>0.0</v>
      </c>
      <c r="X350" s="31">
        <f>IF(X349+AH350-N350&lt;=0.01,0,ROUND(X349+AH350-N350,2))</f>
        <v>0.0</v>
      </c>
      <c r="Y350" s="31">
        <f>IF(Y349+AI350-O350&lt;=0.01,0,ROUND(Y349+AI350-O350,2))</f>
        <v>0.0</v>
      </c>
      <c r="Z350" s="31">
        <f>IF(Z349+AJ350-P350&lt;=0.01,0,ROUND(Z349+AJ350-P350,2))</f>
        <v>0.0</v>
      </c>
      <c r="AA350" s="31">
        <f>IF(AA349+AK350-Q350&lt;=0.01,0,ROUND(AA349+AK350-Q350,2))</f>
        <v>0.0</v>
      </c>
      <c r="AB350" s="31">
        <f>ROUND(R349*AB$5/1200,2)</f>
        <v>0.0</v>
      </c>
      <c r="AC350" s="31">
        <f>ROUND(S349*AC$5/1200,2)</f>
        <v>0.0</v>
      </c>
      <c r="AD350" s="31">
        <f>ROUND(T349*AD$5/1200,2)</f>
        <v>0.0</v>
      </c>
      <c r="AE350" s="31">
        <f>ROUND(U349*AE$5/1200,2)</f>
        <v>0.0</v>
      </c>
      <c r="AF350" s="31">
        <f>ROUND(V349*AF$5/1200,2)</f>
        <v>0.0</v>
      </c>
      <c r="AG350" s="31">
        <f>ROUND(W349*AG$5/1200,2)</f>
        <v>0.0</v>
      </c>
      <c r="AH350" s="31">
        <f>ROUND(X349*AH$5/1200,2)</f>
        <v>0.0</v>
      </c>
      <c r="AI350" s="31">
        <f>ROUND(Y349*AI$5/1200,2)</f>
        <v>0.0</v>
      </c>
      <c r="AJ350" s="31">
        <f>ROUND(Z349*AJ$5/1200,2)</f>
        <v>0.0</v>
      </c>
      <c r="AK350" s="31">
        <f>ROUND(AA349*AK$5/1200,2)</f>
        <v>0.0</v>
      </c>
      <c r="AL350" s="31">
        <f>MIN(AL$5,R349+AB350)</f>
        <v>0.0</v>
      </c>
      <c r="AM350" s="31">
        <f>MIN(AM$5,S349+AC350)</f>
        <v>0.0</v>
      </c>
      <c r="AN350" s="31">
        <f>MIN(AN$5,T349+AD350)</f>
        <v>0.0</v>
      </c>
      <c r="AO350" s="31">
        <f>MIN(AO$5,U349+AE350)</f>
        <v>0.0</v>
      </c>
      <c r="AP350" s="31">
        <f>MIN(AP$5,V349+AF350)</f>
        <v>0.0</v>
      </c>
      <c r="AQ350" s="31">
        <f>MIN(AQ$5,W349+AG350)</f>
        <v>0.0</v>
      </c>
      <c r="AR350" s="31">
        <f>MIN(AR$5,X349+AH350)</f>
        <v>0.0</v>
      </c>
      <c r="AS350" s="31">
        <f>MIN(AS$5,Y349+AI350)</f>
        <v>0.0</v>
      </c>
      <c r="AT350" s="31">
        <f>MIN(AT$5,Z349+AJ350)</f>
        <v>0.0</v>
      </c>
      <c r="AU350" s="31">
        <f>MIN(AU$5,AA349+AK350)</f>
        <v>0.0</v>
      </c>
    </row>
    <row r="351">
      <c r="A351" s="25" t="str">
        <f>IF(F350&gt;0.005,346,"")</f>
        <v/>
      </c>
      <c r="B351" s="33" t="str">
        <f>IF(A351="","",EDATE(Долги!$D$5,345))</f>
        <v/>
      </c>
      <c r="C351" s="31">
        <f>SUM(H351:Q351)</f>
        <v>0.0</v>
      </c>
      <c r="D351" s="31">
        <f>SUM(AB351:AK351)</f>
        <v>0.0</v>
      </c>
      <c r="E351" s="31">
        <f>C351-D351</f>
        <v>0.0</v>
      </c>
      <c r="F351" s="31">
        <f>SUM(R351:AA351)</f>
        <v>0.0</v>
      </c>
      <c r="G351" s="34" t="str">
        <f>IF(OR(A351="",$F$5&lt;=0),"",REPT("█",ROUND(20*F351/$F$5,0)))</f>
        <v/>
      </c>
      <c r="H351" s="31">
        <f>AL351+MIN(R350+AB351-AL351,MAX(0,ROUND(Долги!$D$19-SUM($AL351:$AU351),2)))</f>
        <v>0.0</v>
      </c>
      <c r="I351" s="31">
        <f>AM351+MIN(S350+AC351-AM351,MAX(0,ROUND(ROUND(Долги!$D$19-SUM($AL351:$AU351),2)-(SUM($H351:H351)-SUM($AL351:AL351)),2)))</f>
        <v>0.0</v>
      </c>
      <c r="J351" s="31">
        <f>AN351+MIN(T350+AD351-AN351,MAX(0,ROUND(ROUND(Долги!$D$19-SUM($AL351:$AU351),2)-(SUM($H351:I351)-SUM($AL351:AM351)),2)))</f>
        <v>0.0</v>
      </c>
      <c r="K351" s="31">
        <f>AO351+MIN(U350+AE351-AO351,MAX(0,ROUND(ROUND(Долги!$D$19-SUM($AL351:$AU351),2)-(SUM($H351:J351)-SUM($AL351:AN351)),2)))</f>
        <v>0.0</v>
      </c>
      <c r="L351" s="31">
        <f>AP351+MIN(V350+AF351-AP351,MAX(0,ROUND(ROUND(Долги!$D$19-SUM($AL351:$AU351),2)-(SUM($H351:K351)-SUM($AL351:AO351)),2)))</f>
        <v>0.0</v>
      </c>
      <c r="M351" s="31">
        <f>AQ351+MIN(W350+AG351-AQ351,MAX(0,ROUND(ROUND(Долги!$D$19-SUM($AL351:$AU351),2)-(SUM($H351:L351)-SUM($AL351:AP351)),2)))</f>
        <v>0.0</v>
      </c>
      <c r="N351" s="31">
        <f>AR351+MIN(X350+AH351-AR351,MAX(0,ROUND(ROUND(Долги!$D$19-SUM($AL351:$AU351),2)-(SUM($H351:M351)-SUM($AL351:AQ351)),2)))</f>
        <v>0.0</v>
      </c>
      <c r="O351" s="31">
        <f>AS351+MIN(Y350+AI351-AS351,MAX(0,ROUND(ROUND(Долги!$D$19-SUM($AL351:$AU351),2)-(SUM($H351:N351)-SUM($AL351:AR351)),2)))</f>
        <v>0.0</v>
      </c>
      <c r="P351" s="31">
        <f>AT351+MIN(Z350+AJ351-AT351,MAX(0,ROUND(ROUND(Долги!$D$19-SUM($AL351:$AU351),2)-(SUM($H351:O351)-SUM($AL351:AS351)),2)))</f>
        <v>0.0</v>
      </c>
      <c r="Q351" s="31">
        <f>AU351+MIN(AA350+AK351-AU351,MAX(0,ROUND(ROUND(Долги!$D$19-SUM($AL351:$AU351),2)-(SUM($H351:P351)-SUM($AL351:AT351)),2)))</f>
        <v>0.0</v>
      </c>
      <c r="R351" s="31">
        <f>IF(R350+AB351-H351&lt;=0.01,0,ROUND(R350+AB351-H351,2))</f>
        <v>0.0</v>
      </c>
      <c r="S351" s="31">
        <f>IF(S350+AC351-I351&lt;=0.01,0,ROUND(S350+AC351-I351,2))</f>
        <v>0.0</v>
      </c>
      <c r="T351" s="31">
        <f>IF(T350+AD351-J351&lt;=0.01,0,ROUND(T350+AD351-J351,2))</f>
        <v>0.0</v>
      </c>
      <c r="U351" s="31">
        <f>IF(U350+AE351-K351&lt;=0.01,0,ROUND(U350+AE351-K351,2))</f>
        <v>0.0</v>
      </c>
      <c r="V351" s="31">
        <f>IF(V350+AF351-L351&lt;=0.01,0,ROUND(V350+AF351-L351,2))</f>
        <v>0.0</v>
      </c>
      <c r="W351" s="31">
        <f>IF(W350+AG351-M351&lt;=0.01,0,ROUND(W350+AG351-M351,2))</f>
        <v>0.0</v>
      </c>
      <c r="X351" s="31">
        <f>IF(X350+AH351-N351&lt;=0.01,0,ROUND(X350+AH351-N351,2))</f>
        <v>0.0</v>
      </c>
      <c r="Y351" s="31">
        <f>IF(Y350+AI351-O351&lt;=0.01,0,ROUND(Y350+AI351-O351,2))</f>
        <v>0.0</v>
      </c>
      <c r="Z351" s="31">
        <f>IF(Z350+AJ351-P351&lt;=0.01,0,ROUND(Z350+AJ351-P351,2))</f>
        <v>0.0</v>
      </c>
      <c r="AA351" s="31">
        <f>IF(AA350+AK351-Q351&lt;=0.01,0,ROUND(AA350+AK351-Q351,2))</f>
        <v>0.0</v>
      </c>
      <c r="AB351" s="31">
        <f>ROUND(R350*AB$5/1200,2)</f>
        <v>0.0</v>
      </c>
      <c r="AC351" s="31">
        <f>ROUND(S350*AC$5/1200,2)</f>
        <v>0.0</v>
      </c>
      <c r="AD351" s="31">
        <f>ROUND(T350*AD$5/1200,2)</f>
        <v>0.0</v>
      </c>
      <c r="AE351" s="31">
        <f>ROUND(U350*AE$5/1200,2)</f>
        <v>0.0</v>
      </c>
      <c r="AF351" s="31">
        <f>ROUND(V350*AF$5/1200,2)</f>
        <v>0.0</v>
      </c>
      <c r="AG351" s="31">
        <f>ROUND(W350*AG$5/1200,2)</f>
        <v>0.0</v>
      </c>
      <c r="AH351" s="31">
        <f>ROUND(X350*AH$5/1200,2)</f>
        <v>0.0</v>
      </c>
      <c r="AI351" s="31">
        <f>ROUND(Y350*AI$5/1200,2)</f>
        <v>0.0</v>
      </c>
      <c r="AJ351" s="31">
        <f>ROUND(Z350*AJ$5/1200,2)</f>
        <v>0.0</v>
      </c>
      <c r="AK351" s="31">
        <f>ROUND(AA350*AK$5/1200,2)</f>
        <v>0.0</v>
      </c>
      <c r="AL351" s="31">
        <f>MIN(AL$5,R350+AB351)</f>
        <v>0.0</v>
      </c>
      <c r="AM351" s="31">
        <f>MIN(AM$5,S350+AC351)</f>
        <v>0.0</v>
      </c>
      <c r="AN351" s="31">
        <f>MIN(AN$5,T350+AD351)</f>
        <v>0.0</v>
      </c>
      <c r="AO351" s="31">
        <f>MIN(AO$5,U350+AE351)</f>
        <v>0.0</v>
      </c>
      <c r="AP351" s="31">
        <f>MIN(AP$5,V350+AF351)</f>
        <v>0.0</v>
      </c>
      <c r="AQ351" s="31">
        <f>MIN(AQ$5,W350+AG351)</f>
        <v>0.0</v>
      </c>
      <c r="AR351" s="31">
        <f>MIN(AR$5,X350+AH351)</f>
        <v>0.0</v>
      </c>
      <c r="AS351" s="31">
        <f>MIN(AS$5,Y350+AI351)</f>
        <v>0.0</v>
      </c>
      <c r="AT351" s="31">
        <f>MIN(AT$5,Z350+AJ351)</f>
        <v>0.0</v>
      </c>
      <c r="AU351" s="31">
        <f>MIN(AU$5,AA350+AK351)</f>
        <v>0.0</v>
      </c>
    </row>
    <row r="352">
      <c r="A352" s="25" t="str">
        <f>IF(F351&gt;0.005,347,"")</f>
        <v/>
      </c>
      <c r="B352" s="33" t="str">
        <f>IF(A352="","",EDATE(Долги!$D$5,346))</f>
        <v/>
      </c>
      <c r="C352" s="31">
        <f>SUM(H352:Q352)</f>
        <v>0.0</v>
      </c>
      <c r="D352" s="31">
        <f>SUM(AB352:AK352)</f>
        <v>0.0</v>
      </c>
      <c r="E352" s="31">
        <f>C352-D352</f>
        <v>0.0</v>
      </c>
      <c r="F352" s="31">
        <f>SUM(R352:AA352)</f>
        <v>0.0</v>
      </c>
      <c r="G352" s="34" t="str">
        <f>IF(OR(A352="",$F$5&lt;=0),"",REPT("█",ROUND(20*F352/$F$5,0)))</f>
        <v/>
      </c>
      <c r="H352" s="31">
        <f>AL352+MIN(R351+AB352-AL352,MAX(0,ROUND(Долги!$D$19-SUM($AL352:$AU352),2)))</f>
        <v>0.0</v>
      </c>
      <c r="I352" s="31">
        <f>AM352+MIN(S351+AC352-AM352,MAX(0,ROUND(ROUND(Долги!$D$19-SUM($AL352:$AU352),2)-(SUM($H352:H352)-SUM($AL352:AL352)),2)))</f>
        <v>0.0</v>
      </c>
      <c r="J352" s="31">
        <f>AN352+MIN(T351+AD352-AN352,MAX(0,ROUND(ROUND(Долги!$D$19-SUM($AL352:$AU352),2)-(SUM($H352:I352)-SUM($AL352:AM352)),2)))</f>
        <v>0.0</v>
      </c>
      <c r="K352" s="31">
        <f>AO352+MIN(U351+AE352-AO352,MAX(0,ROUND(ROUND(Долги!$D$19-SUM($AL352:$AU352),2)-(SUM($H352:J352)-SUM($AL352:AN352)),2)))</f>
        <v>0.0</v>
      </c>
      <c r="L352" s="31">
        <f>AP352+MIN(V351+AF352-AP352,MAX(0,ROUND(ROUND(Долги!$D$19-SUM($AL352:$AU352),2)-(SUM($H352:K352)-SUM($AL352:AO352)),2)))</f>
        <v>0.0</v>
      </c>
      <c r="M352" s="31">
        <f>AQ352+MIN(W351+AG352-AQ352,MAX(0,ROUND(ROUND(Долги!$D$19-SUM($AL352:$AU352),2)-(SUM($H352:L352)-SUM($AL352:AP352)),2)))</f>
        <v>0.0</v>
      </c>
      <c r="N352" s="31">
        <f>AR352+MIN(X351+AH352-AR352,MAX(0,ROUND(ROUND(Долги!$D$19-SUM($AL352:$AU352),2)-(SUM($H352:M352)-SUM($AL352:AQ352)),2)))</f>
        <v>0.0</v>
      </c>
      <c r="O352" s="31">
        <f>AS352+MIN(Y351+AI352-AS352,MAX(0,ROUND(ROUND(Долги!$D$19-SUM($AL352:$AU352),2)-(SUM($H352:N352)-SUM($AL352:AR352)),2)))</f>
        <v>0.0</v>
      </c>
      <c r="P352" s="31">
        <f>AT352+MIN(Z351+AJ352-AT352,MAX(0,ROUND(ROUND(Долги!$D$19-SUM($AL352:$AU352),2)-(SUM($H352:O352)-SUM($AL352:AS352)),2)))</f>
        <v>0.0</v>
      </c>
      <c r="Q352" s="31">
        <f>AU352+MIN(AA351+AK352-AU352,MAX(0,ROUND(ROUND(Долги!$D$19-SUM($AL352:$AU352),2)-(SUM($H352:P352)-SUM($AL352:AT352)),2)))</f>
        <v>0.0</v>
      </c>
      <c r="R352" s="31">
        <f>IF(R351+AB352-H352&lt;=0.01,0,ROUND(R351+AB352-H352,2))</f>
        <v>0.0</v>
      </c>
      <c r="S352" s="31">
        <f>IF(S351+AC352-I352&lt;=0.01,0,ROUND(S351+AC352-I352,2))</f>
        <v>0.0</v>
      </c>
      <c r="T352" s="31">
        <f>IF(T351+AD352-J352&lt;=0.01,0,ROUND(T351+AD352-J352,2))</f>
        <v>0.0</v>
      </c>
      <c r="U352" s="31">
        <f>IF(U351+AE352-K352&lt;=0.01,0,ROUND(U351+AE352-K352,2))</f>
        <v>0.0</v>
      </c>
      <c r="V352" s="31">
        <f>IF(V351+AF352-L352&lt;=0.01,0,ROUND(V351+AF352-L352,2))</f>
        <v>0.0</v>
      </c>
      <c r="W352" s="31">
        <f>IF(W351+AG352-M352&lt;=0.01,0,ROUND(W351+AG352-M352,2))</f>
        <v>0.0</v>
      </c>
      <c r="X352" s="31">
        <f>IF(X351+AH352-N352&lt;=0.01,0,ROUND(X351+AH352-N352,2))</f>
        <v>0.0</v>
      </c>
      <c r="Y352" s="31">
        <f>IF(Y351+AI352-O352&lt;=0.01,0,ROUND(Y351+AI352-O352,2))</f>
        <v>0.0</v>
      </c>
      <c r="Z352" s="31">
        <f>IF(Z351+AJ352-P352&lt;=0.01,0,ROUND(Z351+AJ352-P352,2))</f>
        <v>0.0</v>
      </c>
      <c r="AA352" s="31">
        <f>IF(AA351+AK352-Q352&lt;=0.01,0,ROUND(AA351+AK352-Q352,2))</f>
        <v>0.0</v>
      </c>
      <c r="AB352" s="31">
        <f>ROUND(R351*AB$5/1200,2)</f>
        <v>0.0</v>
      </c>
      <c r="AC352" s="31">
        <f>ROUND(S351*AC$5/1200,2)</f>
        <v>0.0</v>
      </c>
      <c r="AD352" s="31">
        <f>ROUND(T351*AD$5/1200,2)</f>
        <v>0.0</v>
      </c>
      <c r="AE352" s="31">
        <f>ROUND(U351*AE$5/1200,2)</f>
        <v>0.0</v>
      </c>
      <c r="AF352" s="31">
        <f>ROUND(V351*AF$5/1200,2)</f>
        <v>0.0</v>
      </c>
      <c r="AG352" s="31">
        <f>ROUND(W351*AG$5/1200,2)</f>
        <v>0.0</v>
      </c>
      <c r="AH352" s="31">
        <f>ROUND(X351*AH$5/1200,2)</f>
        <v>0.0</v>
      </c>
      <c r="AI352" s="31">
        <f>ROUND(Y351*AI$5/1200,2)</f>
        <v>0.0</v>
      </c>
      <c r="AJ352" s="31">
        <f>ROUND(Z351*AJ$5/1200,2)</f>
        <v>0.0</v>
      </c>
      <c r="AK352" s="31">
        <f>ROUND(AA351*AK$5/1200,2)</f>
        <v>0.0</v>
      </c>
      <c r="AL352" s="31">
        <f>MIN(AL$5,R351+AB352)</f>
        <v>0.0</v>
      </c>
      <c r="AM352" s="31">
        <f>MIN(AM$5,S351+AC352)</f>
        <v>0.0</v>
      </c>
      <c r="AN352" s="31">
        <f>MIN(AN$5,T351+AD352)</f>
        <v>0.0</v>
      </c>
      <c r="AO352" s="31">
        <f>MIN(AO$5,U351+AE352)</f>
        <v>0.0</v>
      </c>
      <c r="AP352" s="31">
        <f>MIN(AP$5,V351+AF352)</f>
        <v>0.0</v>
      </c>
      <c r="AQ352" s="31">
        <f>MIN(AQ$5,W351+AG352)</f>
        <v>0.0</v>
      </c>
      <c r="AR352" s="31">
        <f>MIN(AR$5,X351+AH352)</f>
        <v>0.0</v>
      </c>
      <c r="AS352" s="31">
        <f>MIN(AS$5,Y351+AI352)</f>
        <v>0.0</v>
      </c>
      <c r="AT352" s="31">
        <f>MIN(AT$5,Z351+AJ352)</f>
        <v>0.0</v>
      </c>
      <c r="AU352" s="31">
        <f>MIN(AU$5,AA351+AK352)</f>
        <v>0.0</v>
      </c>
    </row>
    <row r="353">
      <c r="A353" s="25" t="str">
        <f>IF(F352&gt;0.005,348,"")</f>
        <v/>
      </c>
      <c r="B353" s="33" t="str">
        <f>IF(A353="","",EDATE(Долги!$D$5,347))</f>
        <v/>
      </c>
      <c r="C353" s="31">
        <f>SUM(H353:Q353)</f>
        <v>0.0</v>
      </c>
      <c r="D353" s="31">
        <f>SUM(AB353:AK353)</f>
        <v>0.0</v>
      </c>
      <c r="E353" s="31">
        <f>C353-D353</f>
        <v>0.0</v>
      </c>
      <c r="F353" s="31">
        <f>SUM(R353:AA353)</f>
        <v>0.0</v>
      </c>
      <c r="G353" s="34" t="str">
        <f>IF(OR(A353="",$F$5&lt;=0),"",REPT("█",ROUND(20*F353/$F$5,0)))</f>
        <v/>
      </c>
      <c r="H353" s="31">
        <f>AL353+MIN(R352+AB353-AL353,MAX(0,ROUND(Долги!$D$19-SUM($AL353:$AU353),2)))</f>
        <v>0.0</v>
      </c>
      <c r="I353" s="31">
        <f>AM353+MIN(S352+AC353-AM353,MAX(0,ROUND(ROUND(Долги!$D$19-SUM($AL353:$AU353),2)-(SUM($H353:H353)-SUM($AL353:AL353)),2)))</f>
        <v>0.0</v>
      </c>
      <c r="J353" s="31">
        <f>AN353+MIN(T352+AD353-AN353,MAX(0,ROUND(ROUND(Долги!$D$19-SUM($AL353:$AU353),2)-(SUM($H353:I353)-SUM($AL353:AM353)),2)))</f>
        <v>0.0</v>
      </c>
      <c r="K353" s="31">
        <f>AO353+MIN(U352+AE353-AO353,MAX(0,ROUND(ROUND(Долги!$D$19-SUM($AL353:$AU353),2)-(SUM($H353:J353)-SUM($AL353:AN353)),2)))</f>
        <v>0.0</v>
      </c>
      <c r="L353" s="31">
        <f>AP353+MIN(V352+AF353-AP353,MAX(0,ROUND(ROUND(Долги!$D$19-SUM($AL353:$AU353),2)-(SUM($H353:K353)-SUM($AL353:AO353)),2)))</f>
        <v>0.0</v>
      </c>
      <c r="M353" s="31">
        <f>AQ353+MIN(W352+AG353-AQ353,MAX(0,ROUND(ROUND(Долги!$D$19-SUM($AL353:$AU353),2)-(SUM($H353:L353)-SUM($AL353:AP353)),2)))</f>
        <v>0.0</v>
      </c>
      <c r="N353" s="31">
        <f>AR353+MIN(X352+AH353-AR353,MAX(0,ROUND(ROUND(Долги!$D$19-SUM($AL353:$AU353),2)-(SUM($H353:M353)-SUM($AL353:AQ353)),2)))</f>
        <v>0.0</v>
      </c>
      <c r="O353" s="31">
        <f>AS353+MIN(Y352+AI353-AS353,MAX(0,ROUND(ROUND(Долги!$D$19-SUM($AL353:$AU353),2)-(SUM($H353:N353)-SUM($AL353:AR353)),2)))</f>
        <v>0.0</v>
      </c>
      <c r="P353" s="31">
        <f>AT353+MIN(Z352+AJ353-AT353,MAX(0,ROUND(ROUND(Долги!$D$19-SUM($AL353:$AU353),2)-(SUM($H353:O353)-SUM($AL353:AS353)),2)))</f>
        <v>0.0</v>
      </c>
      <c r="Q353" s="31">
        <f>AU353+MIN(AA352+AK353-AU353,MAX(0,ROUND(ROUND(Долги!$D$19-SUM($AL353:$AU353),2)-(SUM($H353:P353)-SUM($AL353:AT353)),2)))</f>
        <v>0.0</v>
      </c>
      <c r="R353" s="31">
        <f>IF(R352+AB353-H353&lt;=0.01,0,ROUND(R352+AB353-H353,2))</f>
        <v>0.0</v>
      </c>
      <c r="S353" s="31">
        <f>IF(S352+AC353-I353&lt;=0.01,0,ROUND(S352+AC353-I353,2))</f>
        <v>0.0</v>
      </c>
      <c r="T353" s="31">
        <f>IF(T352+AD353-J353&lt;=0.01,0,ROUND(T352+AD353-J353,2))</f>
        <v>0.0</v>
      </c>
      <c r="U353" s="31">
        <f>IF(U352+AE353-K353&lt;=0.01,0,ROUND(U352+AE353-K353,2))</f>
        <v>0.0</v>
      </c>
      <c r="V353" s="31">
        <f>IF(V352+AF353-L353&lt;=0.01,0,ROUND(V352+AF353-L353,2))</f>
        <v>0.0</v>
      </c>
      <c r="W353" s="31">
        <f>IF(W352+AG353-M353&lt;=0.01,0,ROUND(W352+AG353-M353,2))</f>
        <v>0.0</v>
      </c>
      <c r="X353" s="31">
        <f>IF(X352+AH353-N353&lt;=0.01,0,ROUND(X352+AH353-N353,2))</f>
        <v>0.0</v>
      </c>
      <c r="Y353" s="31">
        <f>IF(Y352+AI353-O353&lt;=0.01,0,ROUND(Y352+AI353-O353,2))</f>
        <v>0.0</v>
      </c>
      <c r="Z353" s="31">
        <f>IF(Z352+AJ353-P353&lt;=0.01,0,ROUND(Z352+AJ353-P353,2))</f>
        <v>0.0</v>
      </c>
      <c r="AA353" s="31">
        <f>IF(AA352+AK353-Q353&lt;=0.01,0,ROUND(AA352+AK353-Q353,2))</f>
        <v>0.0</v>
      </c>
      <c r="AB353" s="31">
        <f>ROUND(R352*AB$5/1200,2)</f>
        <v>0.0</v>
      </c>
      <c r="AC353" s="31">
        <f>ROUND(S352*AC$5/1200,2)</f>
        <v>0.0</v>
      </c>
      <c r="AD353" s="31">
        <f>ROUND(T352*AD$5/1200,2)</f>
        <v>0.0</v>
      </c>
      <c r="AE353" s="31">
        <f>ROUND(U352*AE$5/1200,2)</f>
        <v>0.0</v>
      </c>
      <c r="AF353" s="31">
        <f>ROUND(V352*AF$5/1200,2)</f>
        <v>0.0</v>
      </c>
      <c r="AG353" s="31">
        <f>ROUND(W352*AG$5/1200,2)</f>
        <v>0.0</v>
      </c>
      <c r="AH353" s="31">
        <f>ROUND(X352*AH$5/1200,2)</f>
        <v>0.0</v>
      </c>
      <c r="AI353" s="31">
        <f>ROUND(Y352*AI$5/1200,2)</f>
        <v>0.0</v>
      </c>
      <c r="AJ353" s="31">
        <f>ROUND(Z352*AJ$5/1200,2)</f>
        <v>0.0</v>
      </c>
      <c r="AK353" s="31">
        <f>ROUND(AA352*AK$5/1200,2)</f>
        <v>0.0</v>
      </c>
      <c r="AL353" s="31">
        <f>MIN(AL$5,R352+AB353)</f>
        <v>0.0</v>
      </c>
      <c r="AM353" s="31">
        <f>MIN(AM$5,S352+AC353)</f>
        <v>0.0</v>
      </c>
      <c r="AN353" s="31">
        <f>MIN(AN$5,T352+AD353)</f>
        <v>0.0</v>
      </c>
      <c r="AO353" s="31">
        <f>MIN(AO$5,U352+AE353)</f>
        <v>0.0</v>
      </c>
      <c r="AP353" s="31">
        <f>MIN(AP$5,V352+AF353)</f>
        <v>0.0</v>
      </c>
      <c r="AQ353" s="31">
        <f>MIN(AQ$5,W352+AG353)</f>
        <v>0.0</v>
      </c>
      <c r="AR353" s="31">
        <f>MIN(AR$5,X352+AH353)</f>
        <v>0.0</v>
      </c>
      <c r="AS353" s="31">
        <f>MIN(AS$5,Y352+AI353)</f>
        <v>0.0</v>
      </c>
      <c r="AT353" s="31">
        <f>MIN(AT$5,Z352+AJ353)</f>
        <v>0.0</v>
      </c>
      <c r="AU353" s="31">
        <f>MIN(AU$5,AA352+AK353)</f>
        <v>0.0</v>
      </c>
    </row>
    <row r="354">
      <c r="A354" s="25" t="str">
        <f>IF(F353&gt;0.005,349,"")</f>
        <v/>
      </c>
      <c r="B354" s="33" t="str">
        <f>IF(A354="","",EDATE(Долги!$D$5,348))</f>
        <v/>
      </c>
      <c r="C354" s="31">
        <f>SUM(H354:Q354)</f>
        <v>0.0</v>
      </c>
      <c r="D354" s="31">
        <f>SUM(AB354:AK354)</f>
        <v>0.0</v>
      </c>
      <c r="E354" s="31">
        <f>C354-D354</f>
        <v>0.0</v>
      </c>
      <c r="F354" s="31">
        <f>SUM(R354:AA354)</f>
        <v>0.0</v>
      </c>
      <c r="G354" s="34" t="str">
        <f>IF(OR(A354="",$F$5&lt;=0),"",REPT("█",ROUND(20*F354/$F$5,0)))</f>
        <v/>
      </c>
      <c r="H354" s="31">
        <f>AL354+MIN(R353+AB354-AL354,MAX(0,ROUND(Долги!$D$19-SUM($AL354:$AU354),2)))</f>
        <v>0.0</v>
      </c>
      <c r="I354" s="31">
        <f>AM354+MIN(S353+AC354-AM354,MAX(0,ROUND(ROUND(Долги!$D$19-SUM($AL354:$AU354),2)-(SUM($H354:H354)-SUM($AL354:AL354)),2)))</f>
        <v>0.0</v>
      </c>
      <c r="J354" s="31">
        <f>AN354+MIN(T353+AD354-AN354,MAX(0,ROUND(ROUND(Долги!$D$19-SUM($AL354:$AU354),2)-(SUM($H354:I354)-SUM($AL354:AM354)),2)))</f>
        <v>0.0</v>
      </c>
      <c r="K354" s="31">
        <f>AO354+MIN(U353+AE354-AO354,MAX(0,ROUND(ROUND(Долги!$D$19-SUM($AL354:$AU354),2)-(SUM($H354:J354)-SUM($AL354:AN354)),2)))</f>
        <v>0.0</v>
      </c>
      <c r="L354" s="31">
        <f>AP354+MIN(V353+AF354-AP354,MAX(0,ROUND(ROUND(Долги!$D$19-SUM($AL354:$AU354),2)-(SUM($H354:K354)-SUM($AL354:AO354)),2)))</f>
        <v>0.0</v>
      </c>
      <c r="M354" s="31">
        <f>AQ354+MIN(W353+AG354-AQ354,MAX(0,ROUND(ROUND(Долги!$D$19-SUM($AL354:$AU354),2)-(SUM($H354:L354)-SUM($AL354:AP354)),2)))</f>
        <v>0.0</v>
      </c>
      <c r="N354" s="31">
        <f>AR354+MIN(X353+AH354-AR354,MAX(0,ROUND(ROUND(Долги!$D$19-SUM($AL354:$AU354),2)-(SUM($H354:M354)-SUM($AL354:AQ354)),2)))</f>
        <v>0.0</v>
      </c>
      <c r="O354" s="31">
        <f>AS354+MIN(Y353+AI354-AS354,MAX(0,ROUND(ROUND(Долги!$D$19-SUM($AL354:$AU354),2)-(SUM($H354:N354)-SUM($AL354:AR354)),2)))</f>
        <v>0.0</v>
      </c>
      <c r="P354" s="31">
        <f>AT354+MIN(Z353+AJ354-AT354,MAX(0,ROUND(ROUND(Долги!$D$19-SUM($AL354:$AU354),2)-(SUM($H354:O354)-SUM($AL354:AS354)),2)))</f>
        <v>0.0</v>
      </c>
      <c r="Q354" s="31">
        <f>AU354+MIN(AA353+AK354-AU354,MAX(0,ROUND(ROUND(Долги!$D$19-SUM($AL354:$AU354),2)-(SUM($H354:P354)-SUM($AL354:AT354)),2)))</f>
        <v>0.0</v>
      </c>
      <c r="R354" s="31">
        <f>IF(R353+AB354-H354&lt;=0.01,0,ROUND(R353+AB354-H354,2))</f>
        <v>0.0</v>
      </c>
      <c r="S354" s="31">
        <f>IF(S353+AC354-I354&lt;=0.01,0,ROUND(S353+AC354-I354,2))</f>
        <v>0.0</v>
      </c>
      <c r="T354" s="31">
        <f>IF(T353+AD354-J354&lt;=0.01,0,ROUND(T353+AD354-J354,2))</f>
        <v>0.0</v>
      </c>
      <c r="U354" s="31">
        <f>IF(U353+AE354-K354&lt;=0.01,0,ROUND(U353+AE354-K354,2))</f>
        <v>0.0</v>
      </c>
      <c r="V354" s="31">
        <f>IF(V353+AF354-L354&lt;=0.01,0,ROUND(V353+AF354-L354,2))</f>
        <v>0.0</v>
      </c>
      <c r="W354" s="31">
        <f>IF(W353+AG354-M354&lt;=0.01,0,ROUND(W353+AG354-M354,2))</f>
        <v>0.0</v>
      </c>
      <c r="X354" s="31">
        <f>IF(X353+AH354-N354&lt;=0.01,0,ROUND(X353+AH354-N354,2))</f>
        <v>0.0</v>
      </c>
      <c r="Y354" s="31">
        <f>IF(Y353+AI354-O354&lt;=0.01,0,ROUND(Y353+AI354-O354,2))</f>
        <v>0.0</v>
      </c>
      <c r="Z354" s="31">
        <f>IF(Z353+AJ354-P354&lt;=0.01,0,ROUND(Z353+AJ354-P354,2))</f>
        <v>0.0</v>
      </c>
      <c r="AA354" s="31">
        <f>IF(AA353+AK354-Q354&lt;=0.01,0,ROUND(AA353+AK354-Q354,2))</f>
        <v>0.0</v>
      </c>
      <c r="AB354" s="31">
        <f>ROUND(R353*AB$5/1200,2)</f>
        <v>0.0</v>
      </c>
      <c r="AC354" s="31">
        <f>ROUND(S353*AC$5/1200,2)</f>
        <v>0.0</v>
      </c>
      <c r="AD354" s="31">
        <f>ROUND(T353*AD$5/1200,2)</f>
        <v>0.0</v>
      </c>
      <c r="AE354" s="31">
        <f>ROUND(U353*AE$5/1200,2)</f>
        <v>0.0</v>
      </c>
      <c r="AF354" s="31">
        <f>ROUND(V353*AF$5/1200,2)</f>
        <v>0.0</v>
      </c>
      <c r="AG354" s="31">
        <f>ROUND(W353*AG$5/1200,2)</f>
        <v>0.0</v>
      </c>
      <c r="AH354" s="31">
        <f>ROUND(X353*AH$5/1200,2)</f>
        <v>0.0</v>
      </c>
      <c r="AI354" s="31">
        <f>ROUND(Y353*AI$5/1200,2)</f>
        <v>0.0</v>
      </c>
      <c r="AJ354" s="31">
        <f>ROUND(Z353*AJ$5/1200,2)</f>
        <v>0.0</v>
      </c>
      <c r="AK354" s="31">
        <f>ROUND(AA353*AK$5/1200,2)</f>
        <v>0.0</v>
      </c>
      <c r="AL354" s="31">
        <f>MIN(AL$5,R353+AB354)</f>
        <v>0.0</v>
      </c>
      <c r="AM354" s="31">
        <f>MIN(AM$5,S353+AC354)</f>
        <v>0.0</v>
      </c>
      <c r="AN354" s="31">
        <f>MIN(AN$5,T353+AD354)</f>
        <v>0.0</v>
      </c>
      <c r="AO354" s="31">
        <f>MIN(AO$5,U353+AE354)</f>
        <v>0.0</v>
      </c>
      <c r="AP354" s="31">
        <f>MIN(AP$5,V353+AF354)</f>
        <v>0.0</v>
      </c>
      <c r="AQ354" s="31">
        <f>MIN(AQ$5,W353+AG354)</f>
        <v>0.0</v>
      </c>
      <c r="AR354" s="31">
        <f>MIN(AR$5,X353+AH354)</f>
        <v>0.0</v>
      </c>
      <c r="AS354" s="31">
        <f>MIN(AS$5,Y353+AI354)</f>
        <v>0.0</v>
      </c>
      <c r="AT354" s="31">
        <f>MIN(AT$5,Z353+AJ354)</f>
        <v>0.0</v>
      </c>
      <c r="AU354" s="31">
        <f>MIN(AU$5,AA353+AK354)</f>
        <v>0.0</v>
      </c>
    </row>
    <row r="355">
      <c r="A355" s="25" t="str">
        <f>IF(F354&gt;0.005,350,"")</f>
        <v/>
      </c>
      <c r="B355" s="33" t="str">
        <f>IF(A355="","",EDATE(Долги!$D$5,349))</f>
        <v/>
      </c>
      <c r="C355" s="31">
        <f>SUM(H355:Q355)</f>
        <v>0.0</v>
      </c>
      <c r="D355" s="31">
        <f>SUM(AB355:AK355)</f>
        <v>0.0</v>
      </c>
      <c r="E355" s="31">
        <f>C355-D355</f>
        <v>0.0</v>
      </c>
      <c r="F355" s="31">
        <f>SUM(R355:AA355)</f>
        <v>0.0</v>
      </c>
      <c r="G355" s="34" t="str">
        <f>IF(OR(A355="",$F$5&lt;=0),"",REPT("█",ROUND(20*F355/$F$5,0)))</f>
        <v/>
      </c>
      <c r="H355" s="31">
        <f>AL355+MIN(R354+AB355-AL355,MAX(0,ROUND(Долги!$D$19-SUM($AL355:$AU355),2)))</f>
        <v>0.0</v>
      </c>
      <c r="I355" s="31">
        <f>AM355+MIN(S354+AC355-AM355,MAX(0,ROUND(ROUND(Долги!$D$19-SUM($AL355:$AU355),2)-(SUM($H355:H355)-SUM($AL355:AL355)),2)))</f>
        <v>0.0</v>
      </c>
      <c r="J355" s="31">
        <f>AN355+MIN(T354+AD355-AN355,MAX(0,ROUND(ROUND(Долги!$D$19-SUM($AL355:$AU355),2)-(SUM($H355:I355)-SUM($AL355:AM355)),2)))</f>
        <v>0.0</v>
      </c>
      <c r="K355" s="31">
        <f>AO355+MIN(U354+AE355-AO355,MAX(0,ROUND(ROUND(Долги!$D$19-SUM($AL355:$AU355),2)-(SUM($H355:J355)-SUM($AL355:AN355)),2)))</f>
        <v>0.0</v>
      </c>
      <c r="L355" s="31">
        <f>AP355+MIN(V354+AF355-AP355,MAX(0,ROUND(ROUND(Долги!$D$19-SUM($AL355:$AU355),2)-(SUM($H355:K355)-SUM($AL355:AO355)),2)))</f>
        <v>0.0</v>
      </c>
      <c r="M355" s="31">
        <f>AQ355+MIN(W354+AG355-AQ355,MAX(0,ROUND(ROUND(Долги!$D$19-SUM($AL355:$AU355),2)-(SUM($H355:L355)-SUM($AL355:AP355)),2)))</f>
        <v>0.0</v>
      </c>
      <c r="N355" s="31">
        <f>AR355+MIN(X354+AH355-AR355,MAX(0,ROUND(ROUND(Долги!$D$19-SUM($AL355:$AU355),2)-(SUM($H355:M355)-SUM($AL355:AQ355)),2)))</f>
        <v>0.0</v>
      </c>
      <c r="O355" s="31">
        <f>AS355+MIN(Y354+AI355-AS355,MAX(0,ROUND(ROUND(Долги!$D$19-SUM($AL355:$AU355),2)-(SUM($H355:N355)-SUM($AL355:AR355)),2)))</f>
        <v>0.0</v>
      </c>
      <c r="P355" s="31">
        <f>AT355+MIN(Z354+AJ355-AT355,MAX(0,ROUND(ROUND(Долги!$D$19-SUM($AL355:$AU355),2)-(SUM($H355:O355)-SUM($AL355:AS355)),2)))</f>
        <v>0.0</v>
      </c>
      <c r="Q355" s="31">
        <f>AU355+MIN(AA354+AK355-AU355,MAX(0,ROUND(ROUND(Долги!$D$19-SUM($AL355:$AU355),2)-(SUM($H355:P355)-SUM($AL355:AT355)),2)))</f>
        <v>0.0</v>
      </c>
      <c r="R355" s="31">
        <f>IF(R354+AB355-H355&lt;=0.01,0,ROUND(R354+AB355-H355,2))</f>
        <v>0.0</v>
      </c>
      <c r="S355" s="31">
        <f>IF(S354+AC355-I355&lt;=0.01,0,ROUND(S354+AC355-I355,2))</f>
        <v>0.0</v>
      </c>
      <c r="T355" s="31">
        <f>IF(T354+AD355-J355&lt;=0.01,0,ROUND(T354+AD355-J355,2))</f>
        <v>0.0</v>
      </c>
      <c r="U355" s="31">
        <f>IF(U354+AE355-K355&lt;=0.01,0,ROUND(U354+AE355-K355,2))</f>
        <v>0.0</v>
      </c>
      <c r="V355" s="31">
        <f>IF(V354+AF355-L355&lt;=0.01,0,ROUND(V354+AF355-L355,2))</f>
        <v>0.0</v>
      </c>
      <c r="W355" s="31">
        <f>IF(W354+AG355-M355&lt;=0.01,0,ROUND(W354+AG355-M355,2))</f>
        <v>0.0</v>
      </c>
      <c r="X355" s="31">
        <f>IF(X354+AH355-N355&lt;=0.01,0,ROUND(X354+AH355-N355,2))</f>
        <v>0.0</v>
      </c>
      <c r="Y355" s="31">
        <f>IF(Y354+AI355-O355&lt;=0.01,0,ROUND(Y354+AI355-O355,2))</f>
        <v>0.0</v>
      </c>
      <c r="Z355" s="31">
        <f>IF(Z354+AJ355-P355&lt;=0.01,0,ROUND(Z354+AJ355-P355,2))</f>
        <v>0.0</v>
      </c>
      <c r="AA355" s="31">
        <f>IF(AA354+AK355-Q355&lt;=0.01,0,ROUND(AA354+AK355-Q355,2))</f>
        <v>0.0</v>
      </c>
      <c r="AB355" s="31">
        <f>ROUND(R354*AB$5/1200,2)</f>
        <v>0.0</v>
      </c>
      <c r="AC355" s="31">
        <f>ROUND(S354*AC$5/1200,2)</f>
        <v>0.0</v>
      </c>
      <c r="AD355" s="31">
        <f>ROUND(T354*AD$5/1200,2)</f>
        <v>0.0</v>
      </c>
      <c r="AE355" s="31">
        <f>ROUND(U354*AE$5/1200,2)</f>
        <v>0.0</v>
      </c>
      <c r="AF355" s="31">
        <f>ROUND(V354*AF$5/1200,2)</f>
        <v>0.0</v>
      </c>
      <c r="AG355" s="31">
        <f>ROUND(W354*AG$5/1200,2)</f>
        <v>0.0</v>
      </c>
      <c r="AH355" s="31">
        <f>ROUND(X354*AH$5/1200,2)</f>
        <v>0.0</v>
      </c>
      <c r="AI355" s="31">
        <f>ROUND(Y354*AI$5/1200,2)</f>
        <v>0.0</v>
      </c>
      <c r="AJ355" s="31">
        <f>ROUND(Z354*AJ$5/1200,2)</f>
        <v>0.0</v>
      </c>
      <c r="AK355" s="31">
        <f>ROUND(AA354*AK$5/1200,2)</f>
        <v>0.0</v>
      </c>
      <c r="AL355" s="31">
        <f>MIN(AL$5,R354+AB355)</f>
        <v>0.0</v>
      </c>
      <c r="AM355" s="31">
        <f>MIN(AM$5,S354+AC355)</f>
        <v>0.0</v>
      </c>
      <c r="AN355" s="31">
        <f>MIN(AN$5,T354+AD355)</f>
        <v>0.0</v>
      </c>
      <c r="AO355" s="31">
        <f>MIN(AO$5,U354+AE355)</f>
        <v>0.0</v>
      </c>
      <c r="AP355" s="31">
        <f>MIN(AP$5,V354+AF355)</f>
        <v>0.0</v>
      </c>
      <c r="AQ355" s="31">
        <f>MIN(AQ$5,W354+AG355)</f>
        <v>0.0</v>
      </c>
      <c r="AR355" s="31">
        <f>MIN(AR$5,X354+AH355)</f>
        <v>0.0</v>
      </c>
      <c r="AS355" s="31">
        <f>MIN(AS$5,Y354+AI355)</f>
        <v>0.0</v>
      </c>
      <c r="AT355" s="31">
        <f>MIN(AT$5,Z354+AJ355)</f>
        <v>0.0</v>
      </c>
      <c r="AU355" s="31">
        <f>MIN(AU$5,AA354+AK355)</f>
        <v>0.0</v>
      </c>
    </row>
    <row r="356">
      <c r="A356" s="25" t="str">
        <f>IF(F355&gt;0.005,351,"")</f>
        <v/>
      </c>
      <c r="B356" s="33" t="str">
        <f>IF(A356="","",EDATE(Долги!$D$5,350))</f>
        <v/>
      </c>
      <c r="C356" s="31">
        <f>SUM(H356:Q356)</f>
        <v>0.0</v>
      </c>
      <c r="D356" s="31">
        <f>SUM(AB356:AK356)</f>
        <v>0.0</v>
      </c>
      <c r="E356" s="31">
        <f>C356-D356</f>
        <v>0.0</v>
      </c>
      <c r="F356" s="31">
        <f>SUM(R356:AA356)</f>
        <v>0.0</v>
      </c>
      <c r="G356" s="34" t="str">
        <f>IF(OR(A356="",$F$5&lt;=0),"",REPT("█",ROUND(20*F356/$F$5,0)))</f>
        <v/>
      </c>
      <c r="H356" s="31">
        <f>AL356+MIN(R355+AB356-AL356,MAX(0,ROUND(Долги!$D$19-SUM($AL356:$AU356),2)))</f>
        <v>0.0</v>
      </c>
      <c r="I356" s="31">
        <f>AM356+MIN(S355+AC356-AM356,MAX(0,ROUND(ROUND(Долги!$D$19-SUM($AL356:$AU356),2)-(SUM($H356:H356)-SUM($AL356:AL356)),2)))</f>
        <v>0.0</v>
      </c>
      <c r="J356" s="31">
        <f>AN356+MIN(T355+AD356-AN356,MAX(0,ROUND(ROUND(Долги!$D$19-SUM($AL356:$AU356),2)-(SUM($H356:I356)-SUM($AL356:AM356)),2)))</f>
        <v>0.0</v>
      </c>
      <c r="K356" s="31">
        <f>AO356+MIN(U355+AE356-AO356,MAX(0,ROUND(ROUND(Долги!$D$19-SUM($AL356:$AU356),2)-(SUM($H356:J356)-SUM($AL356:AN356)),2)))</f>
        <v>0.0</v>
      </c>
      <c r="L356" s="31">
        <f>AP356+MIN(V355+AF356-AP356,MAX(0,ROUND(ROUND(Долги!$D$19-SUM($AL356:$AU356),2)-(SUM($H356:K356)-SUM($AL356:AO356)),2)))</f>
        <v>0.0</v>
      </c>
      <c r="M356" s="31">
        <f>AQ356+MIN(W355+AG356-AQ356,MAX(0,ROUND(ROUND(Долги!$D$19-SUM($AL356:$AU356),2)-(SUM($H356:L356)-SUM($AL356:AP356)),2)))</f>
        <v>0.0</v>
      </c>
      <c r="N356" s="31">
        <f>AR356+MIN(X355+AH356-AR356,MAX(0,ROUND(ROUND(Долги!$D$19-SUM($AL356:$AU356),2)-(SUM($H356:M356)-SUM($AL356:AQ356)),2)))</f>
        <v>0.0</v>
      </c>
      <c r="O356" s="31">
        <f>AS356+MIN(Y355+AI356-AS356,MAX(0,ROUND(ROUND(Долги!$D$19-SUM($AL356:$AU356),2)-(SUM($H356:N356)-SUM($AL356:AR356)),2)))</f>
        <v>0.0</v>
      </c>
      <c r="P356" s="31">
        <f>AT356+MIN(Z355+AJ356-AT356,MAX(0,ROUND(ROUND(Долги!$D$19-SUM($AL356:$AU356),2)-(SUM($H356:O356)-SUM($AL356:AS356)),2)))</f>
        <v>0.0</v>
      </c>
      <c r="Q356" s="31">
        <f>AU356+MIN(AA355+AK356-AU356,MAX(0,ROUND(ROUND(Долги!$D$19-SUM($AL356:$AU356),2)-(SUM($H356:P356)-SUM($AL356:AT356)),2)))</f>
        <v>0.0</v>
      </c>
      <c r="R356" s="31">
        <f>IF(R355+AB356-H356&lt;=0.01,0,ROUND(R355+AB356-H356,2))</f>
        <v>0.0</v>
      </c>
      <c r="S356" s="31">
        <f>IF(S355+AC356-I356&lt;=0.01,0,ROUND(S355+AC356-I356,2))</f>
        <v>0.0</v>
      </c>
      <c r="T356" s="31">
        <f>IF(T355+AD356-J356&lt;=0.01,0,ROUND(T355+AD356-J356,2))</f>
        <v>0.0</v>
      </c>
      <c r="U356" s="31">
        <f>IF(U355+AE356-K356&lt;=0.01,0,ROUND(U355+AE356-K356,2))</f>
        <v>0.0</v>
      </c>
      <c r="V356" s="31">
        <f>IF(V355+AF356-L356&lt;=0.01,0,ROUND(V355+AF356-L356,2))</f>
        <v>0.0</v>
      </c>
      <c r="W356" s="31">
        <f>IF(W355+AG356-M356&lt;=0.01,0,ROUND(W355+AG356-M356,2))</f>
        <v>0.0</v>
      </c>
      <c r="X356" s="31">
        <f>IF(X355+AH356-N356&lt;=0.01,0,ROUND(X355+AH356-N356,2))</f>
        <v>0.0</v>
      </c>
      <c r="Y356" s="31">
        <f>IF(Y355+AI356-O356&lt;=0.01,0,ROUND(Y355+AI356-O356,2))</f>
        <v>0.0</v>
      </c>
      <c r="Z356" s="31">
        <f>IF(Z355+AJ356-P356&lt;=0.01,0,ROUND(Z355+AJ356-P356,2))</f>
        <v>0.0</v>
      </c>
      <c r="AA356" s="31">
        <f>IF(AA355+AK356-Q356&lt;=0.01,0,ROUND(AA355+AK356-Q356,2))</f>
        <v>0.0</v>
      </c>
      <c r="AB356" s="31">
        <f>ROUND(R355*AB$5/1200,2)</f>
        <v>0.0</v>
      </c>
      <c r="AC356" s="31">
        <f>ROUND(S355*AC$5/1200,2)</f>
        <v>0.0</v>
      </c>
      <c r="AD356" s="31">
        <f>ROUND(T355*AD$5/1200,2)</f>
        <v>0.0</v>
      </c>
      <c r="AE356" s="31">
        <f>ROUND(U355*AE$5/1200,2)</f>
        <v>0.0</v>
      </c>
      <c r="AF356" s="31">
        <f>ROUND(V355*AF$5/1200,2)</f>
        <v>0.0</v>
      </c>
      <c r="AG356" s="31">
        <f>ROUND(W355*AG$5/1200,2)</f>
        <v>0.0</v>
      </c>
      <c r="AH356" s="31">
        <f>ROUND(X355*AH$5/1200,2)</f>
        <v>0.0</v>
      </c>
      <c r="AI356" s="31">
        <f>ROUND(Y355*AI$5/1200,2)</f>
        <v>0.0</v>
      </c>
      <c r="AJ356" s="31">
        <f>ROUND(Z355*AJ$5/1200,2)</f>
        <v>0.0</v>
      </c>
      <c r="AK356" s="31">
        <f>ROUND(AA355*AK$5/1200,2)</f>
        <v>0.0</v>
      </c>
      <c r="AL356" s="31">
        <f>MIN(AL$5,R355+AB356)</f>
        <v>0.0</v>
      </c>
      <c r="AM356" s="31">
        <f>MIN(AM$5,S355+AC356)</f>
        <v>0.0</v>
      </c>
      <c r="AN356" s="31">
        <f>MIN(AN$5,T355+AD356)</f>
        <v>0.0</v>
      </c>
      <c r="AO356" s="31">
        <f>MIN(AO$5,U355+AE356)</f>
        <v>0.0</v>
      </c>
      <c r="AP356" s="31">
        <f>MIN(AP$5,V355+AF356)</f>
        <v>0.0</v>
      </c>
      <c r="AQ356" s="31">
        <f>MIN(AQ$5,W355+AG356)</f>
        <v>0.0</v>
      </c>
      <c r="AR356" s="31">
        <f>MIN(AR$5,X355+AH356)</f>
        <v>0.0</v>
      </c>
      <c r="AS356" s="31">
        <f>MIN(AS$5,Y355+AI356)</f>
        <v>0.0</v>
      </c>
      <c r="AT356" s="31">
        <f>MIN(AT$5,Z355+AJ356)</f>
        <v>0.0</v>
      </c>
      <c r="AU356" s="31">
        <f>MIN(AU$5,AA355+AK356)</f>
        <v>0.0</v>
      </c>
    </row>
    <row r="357">
      <c r="A357" s="25" t="str">
        <f>IF(F356&gt;0.005,352,"")</f>
        <v/>
      </c>
      <c r="B357" s="33" t="str">
        <f>IF(A357="","",EDATE(Долги!$D$5,351))</f>
        <v/>
      </c>
      <c r="C357" s="31">
        <f>SUM(H357:Q357)</f>
        <v>0.0</v>
      </c>
      <c r="D357" s="31">
        <f>SUM(AB357:AK357)</f>
        <v>0.0</v>
      </c>
      <c r="E357" s="31">
        <f>C357-D357</f>
        <v>0.0</v>
      </c>
      <c r="F357" s="31">
        <f>SUM(R357:AA357)</f>
        <v>0.0</v>
      </c>
      <c r="G357" s="34" t="str">
        <f>IF(OR(A357="",$F$5&lt;=0),"",REPT("█",ROUND(20*F357/$F$5,0)))</f>
        <v/>
      </c>
      <c r="H357" s="31">
        <f>AL357+MIN(R356+AB357-AL357,MAX(0,ROUND(Долги!$D$19-SUM($AL357:$AU357),2)))</f>
        <v>0.0</v>
      </c>
      <c r="I357" s="31">
        <f>AM357+MIN(S356+AC357-AM357,MAX(0,ROUND(ROUND(Долги!$D$19-SUM($AL357:$AU357),2)-(SUM($H357:H357)-SUM($AL357:AL357)),2)))</f>
        <v>0.0</v>
      </c>
      <c r="J357" s="31">
        <f>AN357+MIN(T356+AD357-AN357,MAX(0,ROUND(ROUND(Долги!$D$19-SUM($AL357:$AU357),2)-(SUM($H357:I357)-SUM($AL357:AM357)),2)))</f>
        <v>0.0</v>
      </c>
      <c r="K357" s="31">
        <f>AO357+MIN(U356+AE357-AO357,MAX(0,ROUND(ROUND(Долги!$D$19-SUM($AL357:$AU357),2)-(SUM($H357:J357)-SUM($AL357:AN357)),2)))</f>
        <v>0.0</v>
      </c>
      <c r="L357" s="31">
        <f>AP357+MIN(V356+AF357-AP357,MAX(0,ROUND(ROUND(Долги!$D$19-SUM($AL357:$AU357),2)-(SUM($H357:K357)-SUM($AL357:AO357)),2)))</f>
        <v>0.0</v>
      </c>
      <c r="M357" s="31">
        <f>AQ357+MIN(W356+AG357-AQ357,MAX(0,ROUND(ROUND(Долги!$D$19-SUM($AL357:$AU357),2)-(SUM($H357:L357)-SUM($AL357:AP357)),2)))</f>
        <v>0.0</v>
      </c>
      <c r="N357" s="31">
        <f>AR357+MIN(X356+AH357-AR357,MAX(0,ROUND(ROUND(Долги!$D$19-SUM($AL357:$AU357),2)-(SUM($H357:M357)-SUM($AL357:AQ357)),2)))</f>
        <v>0.0</v>
      </c>
      <c r="O357" s="31">
        <f>AS357+MIN(Y356+AI357-AS357,MAX(0,ROUND(ROUND(Долги!$D$19-SUM($AL357:$AU357),2)-(SUM($H357:N357)-SUM($AL357:AR357)),2)))</f>
        <v>0.0</v>
      </c>
      <c r="P357" s="31">
        <f>AT357+MIN(Z356+AJ357-AT357,MAX(0,ROUND(ROUND(Долги!$D$19-SUM($AL357:$AU357),2)-(SUM($H357:O357)-SUM($AL357:AS357)),2)))</f>
        <v>0.0</v>
      </c>
      <c r="Q357" s="31">
        <f>AU357+MIN(AA356+AK357-AU357,MAX(0,ROUND(ROUND(Долги!$D$19-SUM($AL357:$AU357),2)-(SUM($H357:P357)-SUM($AL357:AT357)),2)))</f>
        <v>0.0</v>
      </c>
      <c r="R357" s="31">
        <f>IF(R356+AB357-H357&lt;=0.01,0,ROUND(R356+AB357-H357,2))</f>
        <v>0.0</v>
      </c>
      <c r="S357" s="31">
        <f>IF(S356+AC357-I357&lt;=0.01,0,ROUND(S356+AC357-I357,2))</f>
        <v>0.0</v>
      </c>
      <c r="T357" s="31">
        <f>IF(T356+AD357-J357&lt;=0.01,0,ROUND(T356+AD357-J357,2))</f>
        <v>0.0</v>
      </c>
      <c r="U357" s="31">
        <f>IF(U356+AE357-K357&lt;=0.01,0,ROUND(U356+AE357-K357,2))</f>
        <v>0.0</v>
      </c>
      <c r="V357" s="31">
        <f>IF(V356+AF357-L357&lt;=0.01,0,ROUND(V356+AF357-L357,2))</f>
        <v>0.0</v>
      </c>
      <c r="W357" s="31">
        <f>IF(W356+AG357-M357&lt;=0.01,0,ROUND(W356+AG357-M357,2))</f>
        <v>0.0</v>
      </c>
      <c r="X357" s="31">
        <f>IF(X356+AH357-N357&lt;=0.01,0,ROUND(X356+AH357-N357,2))</f>
        <v>0.0</v>
      </c>
      <c r="Y357" s="31">
        <f>IF(Y356+AI357-O357&lt;=0.01,0,ROUND(Y356+AI357-O357,2))</f>
        <v>0.0</v>
      </c>
      <c r="Z357" s="31">
        <f>IF(Z356+AJ357-P357&lt;=0.01,0,ROUND(Z356+AJ357-P357,2))</f>
        <v>0.0</v>
      </c>
      <c r="AA357" s="31">
        <f>IF(AA356+AK357-Q357&lt;=0.01,0,ROUND(AA356+AK357-Q357,2))</f>
        <v>0.0</v>
      </c>
      <c r="AB357" s="31">
        <f>ROUND(R356*AB$5/1200,2)</f>
        <v>0.0</v>
      </c>
      <c r="AC357" s="31">
        <f>ROUND(S356*AC$5/1200,2)</f>
        <v>0.0</v>
      </c>
      <c r="AD357" s="31">
        <f>ROUND(T356*AD$5/1200,2)</f>
        <v>0.0</v>
      </c>
      <c r="AE357" s="31">
        <f>ROUND(U356*AE$5/1200,2)</f>
        <v>0.0</v>
      </c>
      <c r="AF357" s="31">
        <f>ROUND(V356*AF$5/1200,2)</f>
        <v>0.0</v>
      </c>
      <c r="AG357" s="31">
        <f>ROUND(W356*AG$5/1200,2)</f>
        <v>0.0</v>
      </c>
      <c r="AH357" s="31">
        <f>ROUND(X356*AH$5/1200,2)</f>
        <v>0.0</v>
      </c>
      <c r="AI357" s="31">
        <f>ROUND(Y356*AI$5/1200,2)</f>
        <v>0.0</v>
      </c>
      <c r="AJ357" s="31">
        <f>ROUND(Z356*AJ$5/1200,2)</f>
        <v>0.0</v>
      </c>
      <c r="AK357" s="31">
        <f>ROUND(AA356*AK$5/1200,2)</f>
        <v>0.0</v>
      </c>
      <c r="AL357" s="31">
        <f>MIN(AL$5,R356+AB357)</f>
        <v>0.0</v>
      </c>
      <c r="AM357" s="31">
        <f>MIN(AM$5,S356+AC357)</f>
        <v>0.0</v>
      </c>
      <c r="AN357" s="31">
        <f>MIN(AN$5,T356+AD357)</f>
        <v>0.0</v>
      </c>
      <c r="AO357" s="31">
        <f>MIN(AO$5,U356+AE357)</f>
        <v>0.0</v>
      </c>
      <c r="AP357" s="31">
        <f>MIN(AP$5,V356+AF357)</f>
        <v>0.0</v>
      </c>
      <c r="AQ357" s="31">
        <f>MIN(AQ$5,W356+AG357)</f>
        <v>0.0</v>
      </c>
      <c r="AR357" s="31">
        <f>MIN(AR$5,X356+AH357)</f>
        <v>0.0</v>
      </c>
      <c r="AS357" s="31">
        <f>MIN(AS$5,Y356+AI357)</f>
        <v>0.0</v>
      </c>
      <c r="AT357" s="31">
        <f>MIN(AT$5,Z356+AJ357)</f>
        <v>0.0</v>
      </c>
      <c r="AU357" s="31">
        <f>MIN(AU$5,AA356+AK357)</f>
        <v>0.0</v>
      </c>
    </row>
    <row r="358">
      <c r="A358" s="25" t="str">
        <f>IF(F357&gt;0.005,353,"")</f>
        <v/>
      </c>
      <c r="B358" s="33" t="str">
        <f>IF(A358="","",EDATE(Долги!$D$5,352))</f>
        <v/>
      </c>
      <c r="C358" s="31">
        <f>SUM(H358:Q358)</f>
        <v>0.0</v>
      </c>
      <c r="D358" s="31">
        <f>SUM(AB358:AK358)</f>
        <v>0.0</v>
      </c>
      <c r="E358" s="31">
        <f>C358-D358</f>
        <v>0.0</v>
      </c>
      <c r="F358" s="31">
        <f>SUM(R358:AA358)</f>
        <v>0.0</v>
      </c>
      <c r="G358" s="34" t="str">
        <f>IF(OR(A358="",$F$5&lt;=0),"",REPT("█",ROUND(20*F358/$F$5,0)))</f>
        <v/>
      </c>
      <c r="H358" s="31">
        <f>AL358+MIN(R357+AB358-AL358,MAX(0,ROUND(Долги!$D$19-SUM($AL358:$AU358),2)))</f>
        <v>0.0</v>
      </c>
      <c r="I358" s="31">
        <f>AM358+MIN(S357+AC358-AM358,MAX(0,ROUND(ROUND(Долги!$D$19-SUM($AL358:$AU358),2)-(SUM($H358:H358)-SUM($AL358:AL358)),2)))</f>
        <v>0.0</v>
      </c>
      <c r="J358" s="31">
        <f>AN358+MIN(T357+AD358-AN358,MAX(0,ROUND(ROUND(Долги!$D$19-SUM($AL358:$AU358),2)-(SUM($H358:I358)-SUM($AL358:AM358)),2)))</f>
        <v>0.0</v>
      </c>
      <c r="K358" s="31">
        <f>AO358+MIN(U357+AE358-AO358,MAX(0,ROUND(ROUND(Долги!$D$19-SUM($AL358:$AU358),2)-(SUM($H358:J358)-SUM($AL358:AN358)),2)))</f>
        <v>0.0</v>
      </c>
      <c r="L358" s="31">
        <f>AP358+MIN(V357+AF358-AP358,MAX(0,ROUND(ROUND(Долги!$D$19-SUM($AL358:$AU358),2)-(SUM($H358:K358)-SUM($AL358:AO358)),2)))</f>
        <v>0.0</v>
      </c>
      <c r="M358" s="31">
        <f>AQ358+MIN(W357+AG358-AQ358,MAX(0,ROUND(ROUND(Долги!$D$19-SUM($AL358:$AU358),2)-(SUM($H358:L358)-SUM($AL358:AP358)),2)))</f>
        <v>0.0</v>
      </c>
      <c r="N358" s="31">
        <f>AR358+MIN(X357+AH358-AR358,MAX(0,ROUND(ROUND(Долги!$D$19-SUM($AL358:$AU358),2)-(SUM($H358:M358)-SUM($AL358:AQ358)),2)))</f>
        <v>0.0</v>
      </c>
      <c r="O358" s="31">
        <f>AS358+MIN(Y357+AI358-AS358,MAX(0,ROUND(ROUND(Долги!$D$19-SUM($AL358:$AU358),2)-(SUM($H358:N358)-SUM($AL358:AR358)),2)))</f>
        <v>0.0</v>
      </c>
      <c r="P358" s="31">
        <f>AT358+MIN(Z357+AJ358-AT358,MAX(0,ROUND(ROUND(Долги!$D$19-SUM($AL358:$AU358),2)-(SUM($H358:O358)-SUM($AL358:AS358)),2)))</f>
        <v>0.0</v>
      </c>
      <c r="Q358" s="31">
        <f>AU358+MIN(AA357+AK358-AU358,MAX(0,ROUND(ROUND(Долги!$D$19-SUM($AL358:$AU358),2)-(SUM($H358:P358)-SUM($AL358:AT358)),2)))</f>
        <v>0.0</v>
      </c>
      <c r="R358" s="31">
        <f>IF(R357+AB358-H358&lt;=0.01,0,ROUND(R357+AB358-H358,2))</f>
        <v>0.0</v>
      </c>
      <c r="S358" s="31">
        <f>IF(S357+AC358-I358&lt;=0.01,0,ROUND(S357+AC358-I358,2))</f>
        <v>0.0</v>
      </c>
      <c r="T358" s="31">
        <f>IF(T357+AD358-J358&lt;=0.01,0,ROUND(T357+AD358-J358,2))</f>
        <v>0.0</v>
      </c>
      <c r="U358" s="31">
        <f>IF(U357+AE358-K358&lt;=0.01,0,ROUND(U357+AE358-K358,2))</f>
        <v>0.0</v>
      </c>
      <c r="V358" s="31">
        <f>IF(V357+AF358-L358&lt;=0.01,0,ROUND(V357+AF358-L358,2))</f>
        <v>0.0</v>
      </c>
      <c r="W358" s="31">
        <f>IF(W357+AG358-M358&lt;=0.01,0,ROUND(W357+AG358-M358,2))</f>
        <v>0.0</v>
      </c>
      <c r="X358" s="31">
        <f>IF(X357+AH358-N358&lt;=0.01,0,ROUND(X357+AH358-N358,2))</f>
        <v>0.0</v>
      </c>
      <c r="Y358" s="31">
        <f>IF(Y357+AI358-O358&lt;=0.01,0,ROUND(Y357+AI358-O358,2))</f>
        <v>0.0</v>
      </c>
      <c r="Z358" s="31">
        <f>IF(Z357+AJ358-P358&lt;=0.01,0,ROUND(Z357+AJ358-P358,2))</f>
        <v>0.0</v>
      </c>
      <c r="AA358" s="31">
        <f>IF(AA357+AK358-Q358&lt;=0.01,0,ROUND(AA357+AK358-Q358,2))</f>
        <v>0.0</v>
      </c>
      <c r="AB358" s="31">
        <f>ROUND(R357*AB$5/1200,2)</f>
        <v>0.0</v>
      </c>
      <c r="AC358" s="31">
        <f>ROUND(S357*AC$5/1200,2)</f>
        <v>0.0</v>
      </c>
      <c r="AD358" s="31">
        <f>ROUND(T357*AD$5/1200,2)</f>
        <v>0.0</v>
      </c>
      <c r="AE358" s="31">
        <f>ROUND(U357*AE$5/1200,2)</f>
        <v>0.0</v>
      </c>
      <c r="AF358" s="31">
        <f>ROUND(V357*AF$5/1200,2)</f>
        <v>0.0</v>
      </c>
      <c r="AG358" s="31">
        <f>ROUND(W357*AG$5/1200,2)</f>
        <v>0.0</v>
      </c>
      <c r="AH358" s="31">
        <f>ROUND(X357*AH$5/1200,2)</f>
        <v>0.0</v>
      </c>
      <c r="AI358" s="31">
        <f>ROUND(Y357*AI$5/1200,2)</f>
        <v>0.0</v>
      </c>
      <c r="AJ358" s="31">
        <f>ROUND(Z357*AJ$5/1200,2)</f>
        <v>0.0</v>
      </c>
      <c r="AK358" s="31">
        <f>ROUND(AA357*AK$5/1200,2)</f>
        <v>0.0</v>
      </c>
      <c r="AL358" s="31">
        <f>MIN(AL$5,R357+AB358)</f>
        <v>0.0</v>
      </c>
      <c r="AM358" s="31">
        <f>MIN(AM$5,S357+AC358)</f>
        <v>0.0</v>
      </c>
      <c r="AN358" s="31">
        <f>MIN(AN$5,T357+AD358)</f>
        <v>0.0</v>
      </c>
      <c r="AO358" s="31">
        <f>MIN(AO$5,U357+AE358)</f>
        <v>0.0</v>
      </c>
      <c r="AP358" s="31">
        <f>MIN(AP$5,V357+AF358)</f>
        <v>0.0</v>
      </c>
      <c r="AQ358" s="31">
        <f>MIN(AQ$5,W357+AG358)</f>
        <v>0.0</v>
      </c>
      <c r="AR358" s="31">
        <f>MIN(AR$5,X357+AH358)</f>
        <v>0.0</v>
      </c>
      <c r="AS358" s="31">
        <f>MIN(AS$5,Y357+AI358)</f>
        <v>0.0</v>
      </c>
      <c r="AT358" s="31">
        <f>MIN(AT$5,Z357+AJ358)</f>
        <v>0.0</v>
      </c>
      <c r="AU358" s="31">
        <f>MIN(AU$5,AA357+AK358)</f>
        <v>0.0</v>
      </c>
    </row>
    <row r="359">
      <c r="A359" s="25" t="str">
        <f>IF(F358&gt;0.005,354,"")</f>
        <v/>
      </c>
      <c r="B359" s="33" t="str">
        <f>IF(A359="","",EDATE(Долги!$D$5,353))</f>
        <v/>
      </c>
      <c r="C359" s="31">
        <f>SUM(H359:Q359)</f>
        <v>0.0</v>
      </c>
      <c r="D359" s="31">
        <f>SUM(AB359:AK359)</f>
        <v>0.0</v>
      </c>
      <c r="E359" s="31">
        <f>C359-D359</f>
        <v>0.0</v>
      </c>
      <c r="F359" s="31">
        <f>SUM(R359:AA359)</f>
        <v>0.0</v>
      </c>
      <c r="G359" s="34" t="str">
        <f>IF(OR(A359="",$F$5&lt;=0),"",REPT("█",ROUND(20*F359/$F$5,0)))</f>
        <v/>
      </c>
      <c r="H359" s="31">
        <f>AL359+MIN(R358+AB359-AL359,MAX(0,ROUND(Долги!$D$19-SUM($AL359:$AU359),2)))</f>
        <v>0.0</v>
      </c>
      <c r="I359" s="31">
        <f>AM359+MIN(S358+AC359-AM359,MAX(0,ROUND(ROUND(Долги!$D$19-SUM($AL359:$AU359),2)-(SUM($H359:H359)-SUM($AL359:AL359)),2)))</f>
        <v>0.0</v>
      </c>
      <c r="J359" s="31">
        <f>AN359+MIN(T358+AD359-AN359,MAX(0,ROUND(ROUND(Долги!$D$19-SUM($AL359:$AU359),2)-(SUM($H359:I359)-SUM($AL359:AM359)),2)))</f>
        <v>0.0</v>
      </c>
      <c r="K359" s="31">
        <f>AO359+MIN(U358+AE359-AO359,MAX(0,ROUND(ROUND(Долги!$D$19-SUM($AL359:$AU359),2)-(SUM($H359:J359)-SUM($AL359:AN359)),2)))</f>
        <v>0.0</v>
      </c>
      <c r="L359" s="31">
        <f>AP359+MIN(V358+AF359-AP359,MAX(0,ROUND(ROUND(Долги!$D$19-SUM($AL359:$AU359),2)-(SUM($H359:K359)-SUM($AL359:AO359)),2)))</f>
        <v>0.0</v>
      </c>
      <c r="M359" s="31">
        <f>AQ359+MIN(W358+AG359-AQ359,MAX(0,ROUND(ROUND(Долги!$D$19-SUM($AL359:$AU359),2)-(SUM($H359:L359)-SUM($AL359:AP359)),2)))</f>
        <v>0.0</v>
      </c>
      <c r="N359" s="31">
        <f>AR359+MIN(X358+AH359-AR359,MAX(0,ROUND(ROUND(Долги!$D$19-SUM($AL359:$AU359),2)-(SUM($H359:M359)-SUM($AL359:AQ359)),2)))</f>
        <v>0.0</v>
      </c>
      <c r="O359" s="31">
        <f>AS359+MIN(Y358+AI359-AS359,MAX(0,ROUND(ROUND(Долги!$D$19-SUM($AL359:$AU359),2)-(SUM($H359:N359)-SUM($AL359:AR359)),2)))</f>
        <v>0.0</v>
      </c>
      <c r="P359" s="31">
        <f>AT359+MIN(Z358+AJ359-AT359,MAX(0,ROUND(ROUND(Долги!$D$19-SUM($AL359:$AU359),2)-(SUM($H359:O359)-SUM($AL359:AS359)),2)))</f>
        <v>0.0</v>
      </c>
      <c r="Q359" s="31">
        <f>AU359+MIN(AA358+AK359-AU359,MAX(0,ROUND(ROUND(Долги!$D$19-SUM($AL359:$AU359),2)-(SUM($H359:P359)-SUM($AL359:AT359)),2)))</f>
        <v>0.0</v>
      </c>
      <c r="R359" s="31">
        <f>IF(R358+AB359-H359&lt;=0.01,0,ROUND(R358+AB359-H359,2))</f>
        <v>0.0</v>
      </c>
      <c r="S359" s="31">
        <f>IF(S358+AC359-I359&lt;=0.01,0,ROUND(S358+AC359-I359,2))</f>
        <v>0.0</v>
      </c>
      <c r="T359" s="31">
        <f>IF(T358+AD359-J359&lt;=0.01,0,ROUND(T358+AD359-J359,2))</f>
        <v>0.0</v>
      </c>
      <c r="U359" s="31">
        <f>IF(U358+AE359-K359&lt;=0.01,0,ROUND(U358+AE359-K359,2))</f>
        <v>0.0</v>
      </c>
      <c r="V359" s="31">
        <f>IF(V358+AF359-L359&lt;=0.01,0,ROUND(V358+AF359-L359,2))</f>
        <v>0.0</v>
      </c>
      <c r="W359" s="31">
        <f>IF(W358+AG359-M359&lt;=0.01,0,ROUND(W358+AG359-M359,2))</f>
        <v>0.0</v>
      </c>
      <c r="X359" s="31">
        <f>IF(X358+AH359-N359&lt;=0.01,0,ROUND(X358+AH359-N359,2))</f>
        <v>0.0</v>
      </c>
      <c r="Y359" s="31">
        <f>IF(Y358+AI359-O359&lt;=0.01,0,ROUND(Y358+AI359-O359,2))</f>
        <v>0.0</v>
      </c>
      <c r="Z359" s="31">
        <f>IF(Z358+AJ359-P359&lt;=0.01,0,ROUND(Z358+AJ359-P359,2))</f>
        <v>0.0</v>
      </c>
      <c r="AA359" s="31">
        <f>IF(AA358+AK359-Q359&lt;=0.01,0,ROUND(AA358+AK359-Q359,2))</f>
        <v>0.0</v>
      </c>
      <c r="AB359" s="31">
        <f>ROUND(R358*AB$5/1200,2)</f>
        <v>0.0</v>
      </c>
      <c r="AC359" s="31">
        <f>ROUND(S358*AC$5/1200,2)</f>
        <v>0.0</v>
      </c>
      <c r="AD359" s="31">
        <f>ROUND(T358*AD$5/1200,2)</f>
        <v>0.0</v>
      </c>
      <c r="AE359" s="31">
        <f>ROUND(U358*AE$5/1200,2)</f>
        <v>0.0</v>
      </c>
      <c r="AF359" s="31">
        <f>ROUND(V358*AF$5/1200,2)</f>
        <v>0.0</v>
      </c>
      <c r="AG359" s="31">
        <f>ROUND(W358*AG$5/1200,2)</f>
        <v>0.0</v>
      </c>
      <c r="AH359" s="31">
        <f>ROUND(X358*AH$5/1200,2)</f>
        <v>0.0</v>
      </c>
      <c r="AI359" s="31">
        <f>ROUND(Y358*AI$5/1200,2)</f>
        <v>0.0</v>
      </c>
      <c r="AJ359" s="31">
        <f>ROUND(Z358*AJ$5/1200,2)</f>
        <v>0.0</v>
      </c>
      <c r="AK359" s="31">
        <f>ROUND(AA358*AK$5/1200,2)</f>
        <v>0.0</v>
      </c>
      <c r="AL359" s="31">
        <f>MIN(AL$5,R358+AB359)</f>
        <v>0.0</v>
      </c>
      <c r="AM359" s="31">
        <f>MIN(AM$5,S358+AC359)</f>
        <v>0.0</v>
      </c>
      <c r="AN359" s="31">
        <f>MIN(AN$5,T358+AD359)</f>
        <v>0.0</v>
      </c>
      <c r="AO359" s="31">
        <f>MIN(AO$5,U358+AE359)</f>
        <v>0.0</v>
      </c>
      <c r="AP359" s="31">
        <f>MIN(AP$5,V358+AF359)</f>
        <v>0.0</v>
      </c>
      <c r="AQ359" s="31">
        <f>MIN(AQ$5,W358+AG359)</f>
        <v>0.0</v>
      </c>
      <c r="AR359" s="31">
        <f>MIN(AR$5,X358+AH359)</f>
        <v>0.0</v>
      </c>
      <c r="AS359" s="31">
        <f>MIN(AS$5,Y358+AI359)</f>
        <v>0.0</v>
      </c>
      <c r="AT359" s="31">
        <f>MIN(AT$5,Z358+AJ359)</f>
        <v>0.0</v>
      </c>
      <c r="AU359" s="31">
        <f>MIN(AU$5,AA358+AK359)</f>
        <v>0.0</v>
      </c>
    </row>
    <row r="360">
      <c r="A360" s="25" t="str">
        <f>IF(F359&gt;0.005,355,"")</f>
        <v/>
      </c>
      <c r="B360" s="33" t="str">
        <f>IF(A360="","",EDATE(Долги!$D$5,354))</f>
        <v/>
      </c>
      <c r="C360" s="31">
        <f>SUM(H360:Q360)</f>
        <v>0.0</v>
      </c>
      <c r="D360" s="31">
        <f>SUM(AB360:AK360)</f>
        <v>0.0</v>
      </c>
      <c r="E360" s="31">
        <f>C360-D360</f>
        <v>0.0</v>
      </c>
      <c r="F360" s="31">
        <f>SUM(R360:AA360)</f>
        <v>0.0</v>
      </c>
      <c r="G360" s="34" t="str">
        <f>IF(OR(A360="",$F$5&lt;=0),"",REPT("█",ROUND(20*F360/$F$5,0)))</f>
        <v/>
      </c>
      <c r="H360" s="31">
        <f>AL360+MIN(R359+AB360-AL360,MAX(0,ROUND(Долги!$D$19-SUM($AL360:$AU360),2)))</f>
        <v>0.0</v>
      </c>
      <c r="I360" s="31">
        <f>AM360+MIN(S359+AC360-AM360,MAX(0,ROUND(ROUND(Долги!$D$19-SUM($AL360:$AU360),2)-(SUM($H360:H360)-SUM($AL360:AL360)),2)))</f>
        <v>0.0</v>
      </c>
      <c r="J360" s="31">
        <f>AN360+MIN(T359+AD360-AN360,MAX(0,ROUND(ROUND(Долги!$D$19-SUM($AL360:$AU360),2)-(SUM($H360:I360)-SUM($AL360:AM360)),2)))</f>
        <v>0.0</v>
      </c>
      <c r="K360" s="31">
        <f>AO360+MIN(U359+AE360-AO360,MAX(0,ROUND(ROUND(Долги!$D$19-SUM($AL360:$AU360),2)-(SUM($H360:J360)-SUM($AL360:AN360)),2)))</f>
        <v>0.0</v>
      </c>
      <c r="L360" s="31">
        <f>AP360+MIN(V359+AF360-AP360,MAX(0,ROUND(ROUND(Долги!$D$19-SUM($AL360:$AU360),2)-(SUM($H360:K360)-SUM($AL360:AO360)),2)))</f>
        <v>0.0</v>
      </c>
      <c r="M360" s="31">
        <f>AQ360+MIN(W359+AG360-AQ360,MAX(0,ROUND(ROUND(Долги!$D$19-SUM($AL360:$AU360),2)-(SUM($H360:L360)-SUM($AL360:AP360)),2)))</f>
        <v>0.0</v>
      </c>
      <c r="N360" s="31">
        <f>AR360+MIN(X359+AH360-AR360,MAX(0,ROUND(ROUND(Долги!$D$19-SUM($AL360:$AU360),2)-(SUM($H360:M360)-SUM($AL360:AQ360)),2)))</f>
        <v>0.0</v>
      </c>
      <c r="O360" s="31">
        <f>AS360+MIN(Y359+AI360-AS360,MAX(0,ROUND(ROUND(Долги!$D$19-SUM($AL360:$AU360),2)-(SUM($H360:N360)-SUM($AL360:AR360)),2)))</f>
        <v>0.0</v>
      </c>
      <c r="P360" s="31">
        <f>AT360+MIN(Z359+AJ360-AT360,MAX(0,ROUND(ROUND(Долги!$D$19-SUM($AL360:$AU360),2)-(SUM($H360:O360)-SUM($AL360:AS360)),2)))</f>
        <v>0.0</v>
      </c>
      <c r="Q360" s="31">
        <f>AU360+MIN(AA359+AK360-AU360,MAX(0,ROUND(ROUND(Долги!$D$19-SUM($AL360:$AU360),2)-(SUM($H360:P360)-SUM($AL360:AT360)),2)))</f>
        <v>0.0</v>
      </c>
      <c r="R360" s="31">
        <f>IF(R359+AB360-H360&lt;=0.01,0,ROUND(R359+AB360-H360,2))</f>
        <v>0.0</v>
      </c>
      <c r="S360" s="31">
        <f>IF(S359+AC360-I360&lt;=0.01,0,ROUND(S359+AC360-I360,2))</f>
        <v>0.0</v>
      </c>
      <c r="T360" s="31">
        <f>IF(T359+AD360-J360&lt;=0.01,0,ROUND(T359+AD360-J360,2))</f>
        <v>0.0</v>
      </c>
      <c r="U360" s="31">
        <f>IF(U359+AE360-K360&lt;=0.01,0,ROUND(U359+AE360-K360,2))</f>
        <v>0.0</v>
      </c>
      <c r="V360" s="31">
        <f>IF(V359+AF360-L360&lt;=0.01,0,ROUND(V359+AF360-L360,2))</f>
        <v>0.0</v>
      </c>
      <c r="W360" s="31">
        <f>IF(W359+AG360-M360&lt;=0.01,0,ROUND(W359+AG360-M360,2))</f>
        <v>0.0</v>
      </c>
      <c r="X360" s="31">
        <f>IF(X359+AH360-N360&lt;=0.01,0,ROUND(X359+AH360-N360,2))</f>
        <v>0.0</v>
      </c>
      <c r="Y360" s="31">
        <f>IF(Y359+AI360-O360&lt;=0.01,0,ROUND(Y359+AI360-O360,2))</f>
        <v>0.0</v>
      </c>
      <c r="Z360" s="31">
        <f>IF(Z359+AJ360-P360&lt;=0.01,0,ROUND(Z359+AJ360-P360,2))</f>
        <v>0.0</v>
      </c>
      <c r="AA360" s="31">
        <f>IF(AA359+AK360-Q360&lt;=0.01,0,ROUND(AA359+AK360-Q360,2))</f>
        <v>0.0</v>
      </c>
      <c r="AB360" s="31">
        <f>ROUND(R359*AB$5/1200,2)</f>
        <v>0.0</v>
      </c>
      <c r="AC360" s="31">
        <f>ROUND(S359*AC$5/1200,2)</f>
        <v>0.0</v>
      </c>
      <c r="AD360" s="31">
        <f>ROUND(T359*AD$5/1200,2)</f>
        <v>0.0</v>
      </c>
      <c r="AE360" s="31">
        <f>ROUND(U359*AE$5/1200,2)</f>
        <v>0.0</v>
      </c>
      <c r="AF360" s="31">
        <f>ROUND(V359*AF$5/1200,2)</f>
        <v>0.0</v>
      </c>
      <c r="AG360" s="31">
        <f>ROUND(W359*AG$5/1200,2)</f>
        <v>0.0</v>
      </c>
      <c r="AH360" s="31">
        <f>ROUND(X359*AH$5/1200,2)</f>
        <v>0.0</v>
      </c>
      <c r="AI360" s="31">
        <f>ROUND(Y359*AI$5/1200,2)</f>
        <v>0.0</v>
      </c>
      <c r="AJ360" s="31">
        <f>ROUND(Z359*AJ$5/1200,2)</f>
        <v>0.0</v>
      </c>
      <c r="AK360" s="31">
        <f>ROUND(AA359*AK$5/1200,2)</f>
        <v>0.0</v>
      </c>
      <c r="AL360" s="31">
        <f>MIN(AL$5,R359+AB360)</f>
        <v>0.0</v>
      </c>
      <c r="AM360" s="31">
        <f>MIN(AM$5,S359+AC360)</f>
        <v>0.0</v>
      </c>
      <c r="AN360" s="31">
        <f>MIN(AN$5,T359+AD360)</f>
        <v>0.0</v>
      </c>
      <c r="AO360" s="31">
        <f>MIN(AO$5,U359+AE360)</f>
        <v>0.0</v>
      </c>
      <c r="AP360" s="31">
        <f>MIN(AP$5,V359+AF360)</f>
        <v>0.0</v>
      </c>
      <c r="AQ360" s="31">
        <f>MIN(AQ$5,W359+AG360)</f>
        <v>0.0</v>
      </c>
      <c r="AR360" s="31">
        <f>MIN(AR$5,X359+AH360)</f>
        <v>0.0</v>
      </c>
      <c r="AS360" s="31">
        <f>MIN(AS$5,Y359+AI360)</f>
        <v>0.0</v>
      </c>
      <c r="AT360" s="31">
        <f>MIN(AT$5,Z359+AJ360)</f>
        <v>0.0</v>
      </c>
      <c r="AU360" s="31">
        <f>MIN(AU$5,AA359+AK360)</f>
        <v>0.0</v>
      </c>
    </row>
    <row r="361">
      <c r="A361" s="25" t="str">
        <f>IF(F360&gt;0.005,356,"")</f>
        <v/>
      </c>
      <c r="B361" s="33" t="str">
        <f>IF(A361="","",EDATE(Долги!$D$5,355))</f>
        <v/>
      </c>
      <c r="C361" s="31">
        <f>SUM(H361:Q361)</f>
        <v>0.0</v>
      </c>
      <c r="D361" s="31">
        <f>SUM(AB361:AK361)</f>
        <v>0.0</v>
      </c>
      <c r="E361" s="31">
        <f>C361-D361</f>
        <v>0.0</v>
      </c>
      <c r="F361" s="31">
        <f>SUM(R361:AA361)</f>
        <v>0.0</v>
      </c>
      <c r="G361" s="34" t="str">
        <f>IF(OR(A361="",$F$5&lt;=0),"",REPT("█",ROUND(20*F361/$F$5,0)))</f>
        <v/>
      </c>
      <c r="H361" s="31">
        <f>AL361+MIN(R360+AB361-AL361,MAX(0,ROUND(Долги!$D$19-SUM($AL361:$AU361),2)))</f>
        <v>0.0</v>
      </c>
      <c r="I361" s="31">
        <f>AM361+MIN(S360+AC361-AM361,MAX(0,ROUND(ROUND(Долги!$D$19-SUM($AL361:$AU361),2)-(SUM($H361:H361)-SUM($AL361:AL361)),2)))</f>
        <v>0.0</v>
      </c>
      <c r="J361" s="31">
        <f>AN361+MIN(T360+AD361-AN361,MAX(0,ROUND(ROUND(Долги!$D$19-SUM($AL361:$AU361),2)-(SUM($H361:I361)-SUM($AL361:AM361)),2)))</f>
        <v>0.0</v>
      </c>
      <c r="K361" s="31">
        <f>AO361+MIN(U360+AE361-AO361,MAX(0,ROUND(ROUND(Долги!$D$19-SUM($AL361:$AU361),2)-(SUM($H361:J361)-SUM($AL361:AN361)),2)))</f>
        <v>0.0</v>
      </c>
      <c r="L361" s="31">
        <f>AP361+MIN(V360+AF361-AP361,MAX(0,ROUND(ROUND(Долги!$D$19-SUM($AL361:$AU361),2)-(SUM($H361:K361)-SUM($AL361:AO361)),2)))</f>
        <v>0.0</v>
      </c>
      <c r="M361" s="31">
        <f>AQ361+MIN(W360+AG361-AQ361,MAX(0,ROUND(ROUND(Долги!$D$19-SUM($AL361:$AU361),2)-(SUM($H361:L361)-SUM($AL361:AP361)),2)))</f>
        <v>0.0</v>
      </c>
      <c r="N361" s="31">
        <f>AR361+MIN(X360+AH361-AR361,MAX(0,ROUND(ROUND(Долги!$D$19-SUM($AL361:$AU361),2)-(SUM($H361:M361)-SUM($AL361:AQ361)),2)))</f>
        <v>0.0</v>
      </c>
      <c r="O361" s="31">
        <f>AS361+MIN(Y360+AI361-AS361,MAX(0,ROUND(ROUND(Долги!$D$19-SUM($AL361:$AU361),2)-(SUM($H361:N361)-SUM($AL361:AR361)),2)))</f>
        <v>0.0</v>
      </c>
      <c r="P361" s="31">
        <f>AT361+MIN(Z360+AJ361-AT361,MAX(0,ROUND(ROUND(Долги!$D$19-SUM($AL361:$AU361),2)-(SUM($H361:O361)-SUM($AL361:AS361)),2)))</f>
        <v>0.0</v>
      </c>
      <c r="Q361" s="31">
        <f>AU361+MIN(AA360+AK361-AU361,MAX(0,ROUND(ROUND(Долги!$D$19-SUM($AL361:$AU361),2)-(SUM($H361:P361)-SUM($AL361:AT361)),2)))</f>
        <v>0.0</v>
      </c>
      <c r="R361" s="31">
        <f>IF(R360+AB361-H361&lt;=0.01,0,ROUND(R360+AB361-H361,2))</f>
        <v>0.0</v>
      </c>
      <c r="S361" s="31">
        <f>IF(S360+AC361-I361&lt;=0.01,0,ROUND(S360+AC361-I361,2))</f>
        <v>0.0</v>
      </c>
      <c r="T361" s="31">
        <f>IF(T360+AD361-J361&lt;=0.01,0,ROUND(T360+AD361-J361,2))</f>
        <v>0.0</v>
      </c>
      <c r="U361" s="31">
        <f>IF(U360+AE361-K361&lt;=0.01,0,ROUND(U360+AE361-K361,2))</f>
        <v>0.0</v>
      </c>
      <c r="V361" s="31">
        <f>IF(V360+AF361-L361&lt;=0.01,0,ROUND(V360+AF361-L361,2))</f>
        <v>0.0</v>
      </c>
      <c r="W361" s="31">
        <f>IF(W360+AG361-M361&lt;=0.01,0,ROUND(W360+AG361-M361,2))</f>
        <v>0.0</v>
      </c>
      <c r="X361" s="31">
        <f>IF(X360+AH361-N361&lt;=0.01,0,ROUND(X360+AH361-N361,2))</f>
        <v>0.0</v>
      </c>
      <c r="Y361" s="31">
        <f>IF(Y360+AI361-O361&lt;=0.01,0,ROUND(Y360+AI361-O361,2))</f>
        <v>0.0</v>
      </c>
      <c r="Z361" s="31">
        <f>IF(Z360+AJ361-P361&lt;=0.01,0,ROUND(Z360+AJ361-P361,2))</f>
        <v>0.0</v>
      </c>
      <c r="AA361" s="31">
        <f>IF(AA360+AK361-Q361&lt;=0.01,0,ROUND(AA360+AK361-Q361,2))</f>
        <v>0.0</v>
      </c>
      <c r="AB361" s="31">
        <f>ROUND(R360*AB$5/1200,2)</f>
        <v>0.0</v>
      </c>
      <c r="AC361" s="31">
        <f>ROUND(S360*AC$5/1200,2)</f>
        <v>0.0</v>
      </c>
      <c r="AD361" s="31">
        <f>ROUND(T360*AD$5/1200,2)</f>
        <v>0.0</v>
      </c>
      <c r="AE361" s="31">
        <f>ROUND(U360*AE$5/1200,2)</f>
        <v>0.0</v>
      </c>
      <c r="AF361" s="31">
        <f>ROUND(V360*AF$5/1200,2)</f>
        <v>0.0</v>
      </c>
      <c r="AG361" s="31">
        <f>ROUND(W360*AG$5/1200,2)</f>
        <v>0.0</v>
      </c>
      <c r="AH361" s="31">
        <f>ROUND(X360*AH$5/1200,2)</f>
        <v>0.0</v>
      </c>
      <c r="AI361" s="31">
        <f>ROUND(Y360*AI$5/1200,2)</f>
        <v>0.0</v>
      </c>
      <c r="AJ361" s="31">
        <f>ROUND(Z360*AJ$5/1200,2)</f>
        <v>0.0</v>
      </c>
      <c r="AK361" s="31">
        <f>ROUND(AA360*AK$5/1200,2)</f>
        <v>0.0</v>
      </c>
      <c r="AL361" s="31">
        <f>MIN(AL$5,R360+AB361)</f>
        <v>0.0</v>
      </c>
      <c r="AM361" s="31">
        <f>MIN(AM$5,S360+AC361)</f>
        <v>0.0</v>
      </c>
      <c r="AN361" s="31">
        <f>MIN(AN$5,T360+AD361)</f>
        <v>0.0</v>
      </c>
      <c r="AO361" s="31">
        <f>MIN(AO$5,U360+AE361)</f>
        <v>0.0</v>
      </c>
      <c r="AP361" s="31">
        <f>MIN(AP$5,V360+AF361)</f>
        <v>0.0</v>
      </c>
      <c r="AQ361" s="31">
        <f>MIN(AQ$5,W360+AG361)</f>
        <v>0.0</v>
      </c>
      <c r="AR361" s="31">
        <f>MIN(AR$5,X360+AH361)</f>
        <v>0.0</v>
      </c>
      <c r="AS361" s="31">
        <f>MIN(AS$5,Y360+AI361)</f>
        <v>0.0</v>
      </c>
      <c r="AT361" s="31">
        <f>MIN(AT$5,Z360+AJ361)</f>
        <v>0.0</v>
      </c>
      <c r="AU361" s="31">
        <f>MIN(AU$5,AA360+AK361)</f>
        <v>0.0</v>
      </c>
    </row>
    <row r="362">
      <c r="A362" s="25" t="str">
        <f>IF(F361&gt;0.005,357,"")</f>
        <v/>
      </c>
      <c r="B362" s="33" t="str">
        <f>IF(A362="","",EDATE(Долги!$D$5,356))</f>
        <v/>
      </c>
      <c r="C362" s="31">
        <f>SUM(H362:Q362)</f>
        <v>0.0</v>
      </c>
      <c r="D362" s="31">
        <f>SUM(AB362:AK362)</f>
        <v>0.0</v>
      </c>
      <c r="E362" s="31">
        <f>C362-D362</f>
        <v>0.0</v>
      </c>
      <c r="F362" s="31">
        <f>SUM(R362:AA362)</f>
        <v>0.0</v>
      </c>
      <c r="G362" s="34" t="str">
        <f>IF(OR(A362="",$F$5&lt;=0),"",REPT("█",ROUND(20*F362/$F$5,0)))</f>
        <v/>
      </c>
      <c r="H362" s="31">
        <f>AL362+MIN(R361+AB362-AL362,MAX(0,ROUND(Долги!$D$19-SUM($AL362:$AU362),2)))</f>
        <v>0.0</v>
      </c>
      <c r="I362" s="31">
        <f>AM362+MIN(S361+AC362-AM362,MAX(0,ROUND(ROUND(Долги!$D$19-SUM($AL362:$AU362),2)-(SUM($H362:H362)-SUM($AL362:AL362)),2)))</f>
        <v>0.0</v>
      </c>
      <c r="J362" s="31">
        <f>AN362+MIN(T361+AD362-AN362,MAX(0,ROUND(ROUND(Долги!$D$19-SUM($AL362:$AU362),2)-(SUM($H362:I362)-SUM($AL362:AM362)),2)))</f>
        <v>0.0</v>
      </c>
      <c r="K362" s="31">
        <f>AO362+MIN(U361+AE362-AO362,MAX(0,ROUND(ROUND(Долги!$D$19-SUM($AL362:$AU362),2)-(SUM($H362:J362)-SUM($AL362:AN362)),2)))</f>
        <v>0.0</v>
      </c>
      <c r="L362" s="31">
        <f>AP362+MIN(V361+AF362-AP362,MAX(0,ROUND(ROUND(Долги!$D$19-SUM($AL362:$AU362),2)-(SUM($H362:K362)-SUM($AL362:AO362)),2)))</f>
        <v>0.0</v>
      </c>
      <c r="M362" s="31">
        <f>AQ362+MIN(W361+AG362-AQ362,MAX(0,ROUND(ROUND(Долги!$D$19-SUM($AL362:$AU362),2)-(SUM($H362:L362)-SUM($AL362:AP362)),2)))</f>
        <v>0.0</v>
      </c>
      <c r="N362" s="31">
        <f>AR362+MIN(X361+AH362-AR362,MAX(0,ROUND(ROUND(Долги!$D$19-SUM($AL362:$AU362),2)-(SUM($H362:M362)-SUM($AL362:AQ362)),2)))</f>
        <v>0.0</v>
      </c>
      <c r="O362" s="31">
        <f>AS362+MIN(Y361+AI362-AS362,MAX(0,ROUND(ROUND(Долги!$D$19-SUM($AL362:$AU362),2)-(SUM($H362:N362)-SUM($AL362:AR362)),2)))</f>
        <v>0.0</v>
      </c>
      <c r="P362" s="31">
        <f>AT362+MIN(Z361+AJ362-AT362,MAX(0,ROUND(ROUND(Долги!$D$19-SUM($AL362:$AU362),2)-(SUM($H362:O362)-SUM($AL362:AS362)),2)))</f>
        <v>0.0</v>
      </c>
      <c r="Q362" s="31">
        <f>AU362+MIN(AA361+AK362-AU362,MAX(0,ROUND(ROUND(Долги!$D$19-SUM($AL362:$AU362),2)-(SUM($H362:P362)-SUM($AL362:AT362)),2)))</f>
        <v>0.0</v>
      </c>
      <c r="R362" s="31">
        <f>IF(R361+AB362-H362&lt;=0.01,0,ROUND(R361+AB362-H362,2))</f>
        <v>0.0</v>
      </c>
      <c r="S362" s="31">
        <f>IF(S361+AC362-I362&lt;=0.01,0,ROUND(S361+AC362-I362,2))</f>
        <v>0.0</v>
      </c>
      <c r="T362" s="31">
        <f>IF(T361+AD362-J362&lt;=0.01,0,ROUND(T361+AD362-J362,2))</f>
        <v>0.0</v>
      </c>
      <c r="U362" s="31">
        <f>IF(U361+AE362-K362&lt;=0.01,0,ROUND(U361+AE362-K362,2))</f>
        <v>0.0</v>
      </c>
      <c r="V362" s="31">
        <f>IF(V361+AF362-L362&lt;=0.01,0,ROUND(V361+AF362-L362,2))</f>
        <v>0.0</v>
      </c>
      <c r="W362" s="31">
        <f>IF(W361+AG362-M362&lt;=0.01,0,ROUND(W361+AG362-M362,2))</f>
        <v>0.0</v>
      </c>
      <c r="X362" s="31">
        <f>IF(X361+AH362-N362&lt;=0.01,0,ROUND(X361+AH362-N362,2))</f>
        <v>0.0</v>
      </c>
      <c r="Y362" s="31">
        <f>IF(Y361+AI362-O362&lt;=0.01,0,ROUND(Y361+AI362-O362,2))</f>
        <v>0.0</v>
      </c>
      <c r="Z362" s="31">
        <f>IF(Z361+AJ362-P362&lt;=0.01,0,ROUND(Z361+AJ362-P362,2))</f>
        <v>0.0</v>
      </c>
      <c r="AA362" s="31">
        <f>IF(AA361+AK362-Q362&lt;=0.01,0,ROUND(AA361+AK362-Q362,2))</f>
        <v>0.0</v>
      </c>
      <c r="AB362" s="31">
        <f>ROUND(R361*AB$5/1200,2)</f>
        <v>0.0</v>
      </c>
      <c r="AC362" s="31">
        <f>ROUND(S361*AC$5/1200,2)</f>
        <v>0.0</v>
      </c>
      <c r="AD362" s="31">
        <f>ROUND(T361*AD$5/1200,2)</f>
        <v>0.0</v>
      </c>
      <c r="AE362" s="31">
        <f>ROUND(U361*AE$5/1200,2)</f>
        <v>0.0</v>
      </c>
      <c r="AF362" s="31">
        <f>ROUND(V361*AF$5/1200,2)</f>
        <v>0.0</v>
      </c>
      <c r="AG362" s="31">
        <f>ROUND(W361*AG$5/1200,2)</f>
        <v>0.0</v>
      </c>
      <c r="AH362" s="31">
        <f>ROUND(X361*AH$5/1200,2)</f>
        <v>0.0</v>
      </c>
      <c r="AI362" s="31">
        <f>ROUND(Y361*AI$5/1200,2)</f>
        <v>0.0</v>
      </c>
      <c r="AJ362" s="31">
        <f>ROUND(Z361*AJ$5/1200,2)</f>
        <v>0.0</v>
      </c>
      <c r="AK362" s="31">
        <f>ROUND(AA361*AK$5/1200,2)</f>
        <v>0.0</v>
      </c>
      <c r="AL362" s="31">
        <f>MIN(AL$5,R361+AB362)</f>
        <v>0.0</v>
      </c>
      <c r="AM362" s="31">
        <f>MIN(AM$5,S361+AC362)</f>
        <v>0.0</v>
      </c>
      <c r="AN362" s="31">
        <f>MIN(AN$5,T361+AD362)</f>
        <v>0.0</v>
      </c>
      <c r="AO362" s="31">
        <f>MIN(AO$5,U361+AE362)</f>
        <v>0.0</v>
      </c>
      <c r="AP362" s="31">
        <f>MIN(AP$5,V361+AF362)</f>
        <v>0.0</v>
      </c>
      <c r="AQ362" s="31">
        <f>MIN(AQ$5,W361+AG362)</f>
        <v>0.0</v>
      </c>
      <c r="AR362" s="31">
        <f>MIN(AR$5,X361+AH362)</f>
        <v>0.0</v>
      </c>
      <c r="AS362" s="31">
        <f>MIN(AS$5,Y361+AI362)</f>
        <v>0.0</v>
      </c>
      <c r="AT362" s="31">
        <f>MIN(AT$5,Z361+AJ362)</f>
        <v>0.0</v>
      </c>
      <c r="AU362" s="31">
        <f>MIN(AU$5,AA361+AK362)</f>
        <v>0.0</v>
      </c>
    </row>
    <row r="363">
      <c r="A363" s="25" t="str">
        <f>IF(F362&gt;0.005,358,"")</f>
        <v/>
      </c>
      <c r="B363" s="33" t="str">
        <f>IF(A363="","",EDATE(Долги!$D$5,357))</f>
        <v/>
      </c>
      <c r="C363" s="31">
        <f>SUM(H363:Q363)</f>
        <v>0.0</v>
      </c>
      <c r="D363" s="31">
        <f>SUM(AB363:AK363)</f>
        <v>0.0</v>
      </c>
      <c r="E363" s="31">
        <f>C363-D363</f>
        <v>0.0</v>
      </c>
      <c r="F363" s="31">
        <f>SUM(R363:AA363)</f>
        <v>0.0</v>
      </c>
      <c r="G363" s="34" t="str">
        <f>IF(OR(A363="",$F$5&lt;=0),"",REPT("█",ROUND(20*F363/$F$5,0)))</f>
        <v/>
      </c>
      <c r="H363" s="31">
        <f>AL363+MIN(R362+AB363-AL363,MAX(0,ROUND(Долги!$D$19-SUM($AL363:$AU363),2)))</f>
        <v>0.0</v>
      </c>
      <c r="I363" s="31">
        <f>AM363+MIN(S362+AC363-AM363,MAX(0,ROUND(ROUND(Долги!$D$19-SUM($AL363:$AU363),2)-(SUM($H363:H363)-SUM($AL363:AL363)),2)))</f>
        <v>0.0</v>
      </c>
      <c r="J363" s="31">
        <f>AN363+MIN(T362+AD363-AN363,MAX(0,ROUND(ROUND(Долги!$D$19-SUM($AL363:$AU363),2)-(SUM($H363:I363)-SUM($AL363:AM363)),2)))</f>
        <v>0.0</v>
      </c>
      <c r="K363" s="31">
        <f>AO363+MIN(U362+AE363-AO363,MAX(0,ROUND(ROUND(Долги!$D$19-SUM($AL363:$AU363),2)-(SUM($H363:J363)-SUM($AL363:AN363)),2)))</f>
        <v>0.0</v>
      </c>
      <c r="L363" s="31">
        <f>AP363+MIN(V362+AF363-AP363,MAX(0,ROUND(ROUND(Долги!$D$19-SUM($AL363:$AU363),2)-(SUM($H363:K363)-SUM($AL363:AO363)),2)))</f>
        <v>0.0</v>
      </c>
      <c r="M363" s="31">
        <f>AQ363+MIN(W362+AG363-AQ363,MAX(0,ROUND(ROUND(Долги!$D$19-SUM($AL363:$AU363),2)-(SUM($H363:L363)-SUM($AL363:AP363)),2)))</f>
        <v>0.0</v>
      </c>
      <c r="N363" s="31">
        <f>AR363+MIN(X362+AH363-AR363,MAX(0,ROUND(ROUND(Долги!$D$19-SUM($AL363:$AU363),2)-(SUM($H363:M363)-SUM($AL363:AQ363)),2)))</f>
        <v>0.0</v>
      </c>
      <c r="O363" s="31">
        <f>AS363+MIN(Y362+AI363-AS363,MAX(0,ROUND(ROUND(Долги!$D$19-SUM($AL363:$AU363),2)-(SUM($H363:N363)-SUM($AL363:AR363)),2)))</f>
        <v>0.0</v>
      </c>
      <c r="P363" s="31">
        <f>AT363+MIN(Z362+AJ363-AT363,MAX(0,ROUND(ROUND(Долги!$D$19-SUM($AL363:$AU363),2)-(SUM($H363:O363)-SUM($AL363:AS363)),2)))</f>
        <v>0.0</v>
      </c>
      <c r="Q363" s="31">
        <f>AU363+MIN(AA362+AK363-AU363,MAX(0,ROUND(ROUND(Долги!$D$19-SUM($AL363:$AU363),2)-(SUM($H363:P363)-SUM($AL363:AT363)),2)))</f>
        <v>0.0</v>
      </c>
      <c r="R363" s="31">
        <f>IF(R362+AB363-H363&lt;=0.01,0,ROUND(R362+AB363-H363,2))</f>
        <v>0.0</v>
      </c>
      <c r="S363" s="31">
        <f>IF(S362+AC363-I363&lt;=0.01,0,ROUND(S362+AC363-I363,2))</f>
        <v>0.0</v>
      </c>
      <c r="T363" s="31">
        <f>IF(T362+AD363-J363&lt;=0.01,0,ROUND(T362+AD363-J363,2))</f>
        <v>0.0</v>
      </c>
      <c r="U363" s="31">
        <f>IF(U362+AE363-K363&lt;=0.01,0,ROUND(U362+AE363-K363,2))</f>
        <v>0.0</v>
      </c>
      <c r="V363" s="31">
        <f>IF(V362+AF363-L363&lt;=0.01,0,ROUND(V362+AF363-L363,2))</f>
        <v>0.0</v>
      </c>
      <c r="W363" s="31">
        <f>IF(W362+AG363-M363&lt;=0.01,0,ROUND(W362+AG363-M363,2))</f>
        <v>0.0</v>
      </c>
      <c r="X363" s="31">
        <f>IF(X362+AH363-N363&lt;=0.01,0,ROUND(X362+AH363-N363,2))</f>
        <v>0.0</v>
      </c>
      <c r="Y363" s="31">
        <f>IF(Y362+AI363-O363&lt;=0.01,0,ROUND(Y362+AI363-O363,2))</f>
        <v>0.0</v>
      </c>
      <c r="Z363" s="31">
        <f>IF(Z362+AJ363-P363&lt;=0.01,0,ROUND(Z362+AJ363-P363,2))</f>
        <v>0.0</v>
      </c>
      <c r="AA363" s="31">
        <f>IF(AA362+AK363-Q363&lt;=0.01,0,ROUND(AA362+AK363-Q363,2))</f>
        <v>0.0</v>
      </c>
      <c r="AB363" s="31">
        <f>ROUND(R362*AB$5/1200,2)</f>
        <v>0.0</v>
      </c>
      <c r="AC363" s="31">
        <f>ROUND(S362*AC$5/1200,2)</f>
        <v>0.0</v>
      </c>
      <c r="AD363" s="31">
        <f>ROUND(T362*AD$5/1200,2)</f>
        <v>0.0</v>
      </c>
      <c r="AE363" s="31">
        <f>ROUND(U362*AE$5/1200,2)</f>
        <v>0.0</v>
      </c>
      <c r="AF363" s="31">
        <f>ROUND(V362*AF$5/1200,2)</f>
        <v>0.0</v>
      </c>
      <c r="AG363" s="31">
        <f>ROUND(W362*AG$5/1200,2)</f>
        <v>0.0</v>
      </c>
      <c r="AH363" s="31">
        <f>ROUND(X362*AH$5/1200,2)</f>
        <v>0.0</v>
      </c>
      <c r="AI363" s="31">
        <f>ROUND(Y362*AI$5/1200,2)</f>
        <v>0.0</v>
      </c>
      <c r="AJ363" s="31">
        <f>ROUND(Z362*AJ$5/1200,2)</f>
        <v>0.0</v>
      </c>
      <c r="AK363" s="31">
        <f>ROUND(AA362*AK$5/1200,2)</f>
        <v>0.0</v>
      </c>
      <c r="AL363" s="31">
        <f>MIN(AL$5,R362+AB363)</f>
        <v>0.0</v>
      </c>
      <c r="AM363" s="31">
        <f>MIN(AM$5,S362+AC363)</f>
        <v>0.0</v>
      </c>
      <c r="AN363" s="31">
        <f>MIN(AN$5,T362+AD363)</f>
        <v>0.0</v>
      </c>
      <c r="AO363" s="31">
        <f>MIN(AO$5,U362+AE363)</f>
        <v>0.0</v>
      </c>
      <c r="AP363" s="31">
        <f>MIN(AP$5,V362+AF363)</f>
        <v>0.0</v>
      </c>
      <c r="AQ363" s="31">
        <f>MIN(AQ$5,W362+AG363)</f>
        <v>0.0</v>
      </c>
      <c r="AR363" s="31">
        <f>MIN(AR$5,X362+AH363)</f>
        <v>0.0</v>
      </c>
      <c r="AS363" s="31">
        <f>MIN(AS$5,Y362+AI363)</f>
        <v>0.0</v>
      </c>
      <c r="AT363" s="31">
        <f>MIN(AT$5,Z362+AJ363)</f>
        <v>0.0</v>
      </c>
      <c r="AU363" s="31">
        <f>MIN(AU$5,AA362+AK363)</f>
        <v>0.0</v>
      </c>
    </row>
    <row r="364">
      <c r="A364" s="25" t="str">
        <f>IF(F363&gt;0.005,359,"")</f>
        <v/>
      </c>
      <c r="B364" s="33" t="str">
        <f>IF(A364="","",EDATE(Долги!$D$5,358))</f>
        <v/>
      </c>
      <c r="C364" s="31">
        <f>SUM(H364:Q364)</f>
        <v>0.0</v>
      </c>
      <c r="D364" s="31">
        <f>SUM(AB364:AK364)</f>
        <v>0.0</v>
      </c>
      <c r="E364" s="31">
        <f>C364-D364</f>
        <v>0.0</v>
      </c>
      <c r="F364" s="31">
        <f>SUM(R364:AA364)</f>
        <v>0.0</v>
      </c>
      <c r="G364" s="34" t="str">
        <f>IF(OR(A364="",$F$5&lt;=0),"",REPT("█",ROUND(20*F364/$F$5,0)))</f>
        <v/>
      </c>
      <c r="H364" s="31">
        <f>AL364+MIN(R363+AB364-AL364,MAX(0,ROUND(Долги!$D$19-SUM($AL364:$AU364),2)))</f>
        <v>0.0</v>
      </c>
      <c r="I364" s="31">
        <f>AM364+MIN(S363+AC364-AM364,MAX(0,ROUND(ROUND(Долги!$D$19-SUM($AL364:$AU364),2)-(SUM($H364:H364)-SUM($AL364:AL364)),2)))</f>
        <v>0.0</v>
      </c>
      <c r="J364" s="31">
        <f>AN364+MIN(T363+AD364-AN364,MAX(0,ROUND(ROUND(Долги!$D$19-SUM($AL364:$AU364),2)-(SUM($H364:I364)-SUM($AL364:AM364)),2)))</f>
        <v>0.0</v>
      </c>
      <c r="K364" s="31">
        <f>AO364+MIN(U363+AE364-AO364,MAX(0,ROUND(ROUND(Долги!$D$19-SUM($AL364:$AU364),2)-(SUM($H364:J364)-SUM($AL364:AN364)),2)))</f>
        <v>0.0</v>
      </c>
      <c r="L364" s="31">
        <f>AP364+MIN(V363+AF364-AP364,MAX(0,ROUND(ROUND(Долги!$D$19-SUM($AL364:$AU364),2)-(SUM($H364:K364)-SUM($AL364:AO364)),2)))</f>
        <v>0.0</v>
      </c>
      <c r="M364" s="31">
        <f>AQ364+MIN(W363+AG364-AQ364,MAX(0,ROUND(ROUND(Долги!$D$19-SUM($AL364:$AU364),2)-(SUM($H364:L364)-SUM($AL364:AP364)),2)))</f>
        <v>0.0</v>
      </c>
      <c r="N364" s="31">
        <f>AR364+MIN(X363+AH364-AR364,MAX(0,ROUND(ROUND(Долги!$D$19-SUM($AL364:$AU364),2)-(SUM($H364:M364)-SUM($AL364:AQ364)),2)))</f>
        <v>0.0</v>
      </c>
      <c r="O364" s="31">
        <f>AS364+MIN(Y363+AI364-AS364,MAX(0,ROUND(ROUND(Долги!$D$19-SUM($AL364:$AU364),2)-(SUM($H364:N364)-SUM($AL364:AR364)),2)))</f>
        <v>0.0</v>
      </c>
      <c r="P364" s="31">
        <f>AT364+MIN(Z363+AJ364-AT364,MAX(0,ROUND(ROUND(Долги!$D$19-SUM($AL364:$AU364),2)-(SUM($H364:O364)-SUM($AL364:AS364)),2)))</f>
        <v>0.0</v>
      </c>
      <c r="Q364" s="31">
        <f>AU364+MIN(AA363+AK364-AU364,MAX(0,ROUND(ROUND(Долги!$D$19-SUM($AL364:$AU364),2)-(SUM($H364:P364)-SUM($AL364:AT364)),2)))</f>
        <v>0.0</v>
      </c>
      <c r="R364" s="31">
        <f>IF(R363+AB364-H364&lt;=0.01,0,ROUND(R363+AB364-H364,2))</f>
        <v>0.0</v>
      </c>
      <c r="S364" s="31">
        <f>IF(S363+AC364-I364&lt;=0.01,0,ROUND(S363+AC364-I364,2))</f>
        <v>0.0</v>
      </c>
      <c r="T364" s="31">
        <f>IF(T363+AD364-J364&lt;=0.01,0,ROUND(T363+AD364-J364,2))</f>
        <v>0.0</v>
      </c>
      <c r="U364" s="31">
        <f>IF(U363+AE364-K364&lt;=0.01,0,ROUND(U363+AE364-K364,2))</f>
        <v>0.0</v>
      </c>
      <c r="V364" s="31">
        <f>IF(V363+AF364-L364&lt;=0.01,0,ROUND(V363+AF364-L364,2))</f>
        <v>0.0</v>
      </c>
      <c r="W364" s="31">
        <f>IF(W363+AG364-M364&lt;=0.01,0,ROUND(W363+AG364-M364,2))</f>
        <v>0.0</v>
      </c>
      <c r="X364" s="31">
        <f>IF(X363+AH364-N364&lt;=0.01,0,ROUND(X363+AH364-N364,2))</f>
        <v>0.0</v>
      </c>
      <c r="Y364" s="31">
        <f>IF(Y363+AI364-O364&lt;=0.01,0,ROUND(Y363+AI364-O364,2))</f>
        <v>0.0</v>
      </c>
      <c r="Z364" s="31">
        <f>IF(Z363+AJ364-P364&lt;=0.01,0,ROUND(Z363+AJ364-P364,2))</f>
        <v>0.0</v>
      </c>
      <c r="AA364" s="31">
        <f>IF(AA363+AK364-Q364&lt;=0.01,0,ROUND(AA363+AK364-Q364,2))</f>
        <v>0.0</v>
      </c>
      <c r="AB364" s="31">
        <f>ROUND(R363*AB$5/1200,2)</f>
        <v>0.0</v>
      </c>
      <c r="AC364" s="31">
        <f>ROUND(S363*AC$5/1200,2)</f>
        <v>0.0</v>
      </c>
      <c r="AD364" s="31">
        <f>ROUND(T363*AD$5/1200,2)</f>
        <v>0.0</v>
      </c>
      <c r="AE364" s="31">
        <f>ROUND(U363*AE$5/1200,2)</f>
        <v>0.0</v>
      </c>
      <c r="AF364" s="31">
        <f>ROUND(V363*AF$5/1200,2)</f>
        <v>0.0</v>
      </c>
      <c r="AG364" s="31">
        <f>ROUND(W363*AG$5/1200,2)</f>
        <v>0.0</v>
      </c>
      <c r="AH364" s="31">
        <f>ROUND(X363*AH$5/1200,2)</f>
        <v>0.0</v>
      </c>
      <c r="AI364" s="31">
        <f>ROUND(Y363*AI$5/1200,2)</f>
        <v>0.0</v>
      </c>
      <c r="AJ364" s="31">
        <f>ROUND(Z363*AJ$5/1200,2)</f>
        <v>0.0</v>
      </c>
      <c r="AK364" s="31">
        <f>ROUND(AA363*AK$5/1200,2)</f>
        <v>0.0</v>
      </c>
      <c r="AL364" s="31">
        <f>MIN(AL$5,R363+AB364)</f>
        <v>0.0</v>
      </c>
      <c r="AM364" s="31">
        <f>MIN(AM$5,S363+AC364)</f>
        <v>0.0</v>
      </c>
      <c r="AN364" s="31">
        <f>MIN(AN$5,T363+AD364)</f>
        <v>0.0</v>
      </c>
      <c r="AO364" s="31">
        <f>MIN(AO$5,U363+AE364)</f>
        <v>0.0</v>
      </c>
      <c r="AP364" s="31">
        <f>MIN(AP$5,V363+AF364)</f>
        <v>0.0</v>
      </c>
      <c r="AQ364" s="31">
        <f>MIN(AQ$5,W363+AG364)</f>
        <v>0.0</v>
      </c>
      <c r="AR364" s="31">
        <f>MIN(AR$5,X363+AH364)</f>
        <v>0.0</v>
      </c>
      <c r="AS364" s="31">
        <f>MIN(AS$5,Y363+AI364)</f>
        <v>0.0</v>
      </c>
      <c r="AT364" s="31">
        <f>MIN(AT$5,Z363+AJ364)</f>
        <v>0.0</v>
      </c>
      <c r="AU364" s="31">
        <f>MIN(AU$5,AA363+AK364)</f>
        <v>0.0</v>
      </c>
    </row>
    <row r="365">
      <c r="A365" s="25" t="str">
        <f>IF(F364&gt;0.005,360,"")</f>
        <v/>
      </c>
      <c r="B365" s="33" t="str">
        <f>IF(A365="","",EDATE(Долги!$D$5,359))</f>
        <v/>
      </c>
      <c r="C365" s="31">
        <f>SUM(H365:Q365)</f>
        <v>0.0</v>
      </c>
      <c r="D365" s="31">
        <f>SUM(AB365:AK365)</f>
        <v>0.0</v>
      </c>
      <c r="E365" s="31">
        <f>C365-D365</f>
        <v>0.0</v>
      </c>
      <c r="F365" s="31">
        <f>SUM(R365:AA365)</f>
        <v>0.0</v>
      </c>
      <c r="G365" s="34" t="str">
        <f>IF(OR(A365="",$F$5&lt;=0),"",REPT("█",ROUND(20*F365/$F$5,0)))</f>
        <v/>
      </c>
      <c r="H365" s="31">
        <f>AL365+MIN(R364+AB365-AL365,MAX(0,ROUND(Долги!$D$19-SUM($AL365:$AU365),2)))</f>
        <v>0.0</v>
      </c>
      <c r="I365" s="31">
        <f>AM365+MIN(S364+AC365-AM365,MAX(0,ROUND(ROUND(Долги!$D$19-SUM($AL365:$AU365),2)-(SUM($H365:H365)-SUM($AL365:AL365)),2)))</f>
        <v>0.0</v>
      </c>
      <c r="J365" s="31">
        <f>AN365+MIN(T364+AD365-AN365,MAX(0,ROUND(ROUND(Долги!$D$19-SUM($AL365:$AU365),2)-(SUM($H365:I365)-SUM($AL365:AM365)),2)))</f>
        <v>0.0</v>
      </c>
      <c r="K365" s="31">
        <f>AO365+MIN(U364+AE365-AO365,MAX(0,ROUND(ROUND(Долги!$D$19-SUM($AL365:$AU365),2)-(SUM($H365:J365)-SUM($AL365:AN365)),2)))</f>
        <v>0.0</v>
      </c>
      <c r="L365" s="31">
        <f>AP365+MIN(V364+AF365-AP365,MAX(0,ROUND(ROUND(Долги!$D$19-SUM($AL365:$AU365),2)-(SUM($H365:K365)-SUM($AL365:AO365)),2)))</f>
        <v>0.0</v>
      </c>
      <c r="M365" s="31">
        <f>AQ365+MIN(W364+AG365-AQ365,MAX(0,ROUND(ROUND(Долги!$D$19-SUM($AL365:$AU365),2)-(SUM($H365:L365)-SUM($AL365:AP365)),2)))</f>
        <v>0.0</v>
      </c>
      <c r="N365" s="31">
        <f>AR365+MIN(X364+AH365-AR365,MAX(0,ROUND(ROUND(Долги!$D$19-SUM($AL365:$AU365),2)-(SUM($H365:M365)-SUM($AL365:AQ365)),2)))</f>
        <v>0.0</v>
      </c>
      <c r="O365" s="31">
        <f>AS365+MIN(Y364+AI365-AS365,MAX(0,ROUND(ROUND(Долги!$D$19-SUM($AL365:$AU365),2)-(SUM($H365:N365)-SUM($AL365:AR365)),2)))</f>
        <v>0.0</v>
      </c>
      <c r="P365" s="31">
        <f>AT365+MIN(Z364+AJ365-AT365,MAX(0,ROUND(ROUND(Долги!$D$19-SUM($AL365:$AU365),2)-(SUM($H365:O365)-SUM($AL365:AS365)),2)))</f>
        <v>0.0</v>
      </c>
      <c r="Q365" s="31">
        <f>AU365+MIN(AA364+AK365-AU365,MAX(0,ROUND(ROUND(Долги!$D$19-SUM($AL365:$AU365),2)-(SUM($H365:P365)-SUM($AL365:AT365)),2)))</f>
        <v>0.0</v>
      </c>
      <c r="R365" s="31">
        <f>IF(R364+AB365-H365&lt;=0.01,0,ROUND(R364+AB365-H365,2))</f>
        <v>0.0</v>
      </c>
      <c r="S365" s="31">
        <f>IF(S364+AC365-I365&lt;=0.01,0,ROUND(S364+AC365-I365,2))</f>
        <v>0.0</v>
      </c>
      <c r="T365" s="31">
        <f>IF(T364+AD365-J365&lt;=0.01,0,ROUND(T364+AD365-J365,2))</f>
        <v>0.0</v>
      </c>
      <c r="U365" s="31">
        <f>IF(U364+AE365-K365&lt;=0.01,0,ROUND(U364+AE365-K365,2))</f>
        <v>0.0</v>
      </c>
      <c r="V365" s="31">
        <f>IF(V364+AF365-L365&lt;=0.01,0,ROUND(V364+AF365-L365,2))</f>
        <v>0.0</v>
      </c>
      <c r="W365" s="31">
        <f>IF(W364+AG365-M365&lt;=0.01,0,ROUND(W364+AG365-M365,2))</f>
        <v>0.0</v>
      </c>
      <c r="X365" s="31">
        <f>IF(X364+AH365-N365&lt;=0.01,0,ROUND(X364+AH365-N365,2))</f>
        <v>0.0</v>
      </c>
      <c r="Y365" s="31">
        <f>IF(Y364+AI365-O365&lt;=0.01,0,ROUND(Y364+AI365-O365,2))</f>
        <v>0.0</v>
      </c>
      <c r="Z365" s="31">
        <f>IF(Z364+AJ365-P365&lt;=0.01,0,ROUND(Z364+AJ365-P365,2))</f>
        <v>0.0</v>
      </c>
      <c r="AA365" s="31">
        <f>IF(AA364+AK365-Q365&lt;=0.01,0,ROUND(AA364+AK365-Q365,2))</f>
        <v>0.0</v>
      </c>
      <c r="AB365" s="31">
        <f>ROUND(R364*AB$5/1200,2)</f>
        <v>0.0</v>
      </c>
      <c r="AC365" s="31">
        <f>ROUND(S364*AC$5/1200,2)</f>
        <v>0.0</v>
      </c>
      <c r="AD365" s="31">
        <f>ROUND(T364*AD$5/1200,2)</f>
        <v>0.0</v>
      </c>
      <c r="AE365" s="31">
        <f>ROUND(U364*AE$5/1200,2)</f>
        <v>0.0</v>
      </c>
      <c r="AF365" s="31">
        <f>ROUND(V364*AF$5/1200,2)</f>
        <v>0.0</v>
      </c>
      <c r="AG365" s="31">
        <f>ROUND(W364*AG$5/1200,2)</f>
        <v>0.0</v>
      </c>
      <c r="AH365" s="31">
        <f>ROUND(X364*AH$5/1200,2)</f>
        <v>0.0</v>
      </c>
      <c r="AI365" s="31">
        <f>ROUND(Y364*AI$5/1200,2)</f>
        <v>0.0</v>
      </c>
      <c r="AJ365" s="31">
        <f>ROUND(Z364*AJ$5/1200,2)</f>
        <v>0.0</v>
      </c>
      <c r="AK365" s="31">
        <f>ROUND(AA364*AK$5/1200,2)</f>
        <v>0.0</v>
      </c>
      <c r="AL365" s="31">
        <f>MIN(AL$5,R364+AB365)</f>
        <v>0.0</v>
      </c>
      <c r="AM365" s="31">
        <f>MIN(AM$5,S364+AC365)</f>
        <v>0.0</v>
      </c>
      <c r="AN365" s="31">
        <f>MIN(AN$5,T364+AD365)</f>
        <v>0.0</v>
      </c>
      <c r="AO365" s="31">
        <f>MIN(AO$5,U364+AE365)</f>
        <v>0.0</v>
      </c>
      <c r="AP365" s="31">
        <f>MIN(AP$5,V364+AF365)</f>
        <v>0.0</v>
      </c>
      <c r="AQ365" s="31">
        <f>MIN(AQ$5,W364+AG365)</f>
        <v>0.0</v>
      </c>
      <c r="AR365" s="31">
        <f>MIN(AR$5,X364+AH365)</f>
        <v>0.0</v>
      </c>
      <c r="AS365" s="31">
        <f>MIN(AS$5,Y364+AI365)</f>
        <v>0.0</v>
      </c>
      <c r="AT365" s="31">
        <f>MIN(AT$5,Z364+AJ365)</f>
        <v>0.0</v>
      </c>
      <c r="AU365" s="31">
        <f>MIN(AU$5,AA364+AK365)</f>
        <v>0.0</v>
      </c>
    </row>
  </sheetData>
  <conditionalFormatting sqref="R6:AA365">
    <cfRule type="expression" priority="1" dxfId="0">
      <formula>AND(R6=0,R5&gt;0)</formula>
    </cfRule>
  </conditionalFormatting>
  <conditionalFormatting sqref="H6:Q365">
    <cfRule type="expression" priority="2" dxfId="0">
      <formula>AND(R6=0,R5&gt;0)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5" t="inlineStr">
        <is>
          <t>Как пользоваться</t>
        </is>
      </c>
    </row>
    <row r="2">
      <c r="A2" s="36" t="inlineStr">
        <is>
          <t>1. На листе «Долги» замените пример своими долгами: название, остаток на сегодня, ставка в процентах годовых и минимальный (обязательный) платёж в месяц. До 10 долгов; лишние строки оставьте пустыми.</t>
        </is>
      </c>
    </row>
    <row r="3">
      <c r="A3" s="36" t="inlineStr">
        <is>
          <t>2. В ячейке «Доплата в месяц» укажите, сколько готовы платить сверх минимальных платежей. Можно 0 — тогда увидите срок на одних минимумах с переносом освободившихся платежей.</t>
        </is>
      </c>
    </row>
    <row r="4">
      <c r="A4" s="36" t="inlineStr">
        <is>
          <t>3. Колонки «Очередь» покажут, в каком порядке гасить долги по каждому методу, «Закроется» — месяц, когда долг будет закрыт. Блок «Итог» сравнивает методы: срок, переплату и сколько экономит лавина.</t>
        </is>
      </c>
    </row>
    <row r="5">
      <c r="A5" s="36" t="inlineStr">
        <is>
          <t>4. Листы «Снежный ком» и «Лавина» — график по месяцам: сколько платить по каждому долгу и сколько останется. Зелёная ячейка — месяц, когда долг закрыт.</t>
        </is>
      </c>
    </row>
    <row r="6">
      <c r="A6" s="36" t="inlineStr"/>
    </row>
    <row r="7">
      <c r="A7" s="35" t="inlineStr">
        <is>
          <t>Как считает таблица</t>
        </is>
      </c>
    </row>
    <row r="8">
      <c r="A8" s="36" t="inlineStr">
        <is>
          <t>Каждый месяц на остаток каждого долга начисляются проценты: ставка ÷ 12. По каждому долгу вносится минимальный платёж. Всё, что осталось от бюджета (минимальные платежи всех долгов + доплата), идёт в первый по очереди долг. Когда долг закрыт, его платёж не тратится, а переходит следующему — это и есть эффект снежного кома.</t>
        </is>
      </c>
    </row>
    <row r="9">
      <c r="A9" s="36" t="inlineStr">
        <is>
          <t>Очередь определяется один раз по стартовым данным: снежный ком — от меньшего остатка, лавина — от большей ставки. При равенстве первым идёт долг, который выше в списке.</t>
        </is>
      </c>
    </row>
    <row r="10">
      <c r="A10" s="36" t="inlineStr">
        <is>
          <t>Банки считают проценты по дням, поэтому их цифры будут отличаться на десятки, иногда сотни рублей в месяц, но не на тысячи. Минимальный платёж по кредитной карте в таблице считается постоянным — в жизни банк пересчитывает его от остатка. Для карты впишите сумму, которую действительно будете вносить каждый месяц.</t>
        </is>
      </c>
    </row>
    <row r="11">
      <c r="A11" s="36" t="inlineStr"/>
    </row>
    <row r="12">
      <c r="A12" s="35" t="inlineStr">
        <is>
          <t>Что таблица не умеет</t>
        </is>
      </c>
    </row>
    <row r="13">
      <c r="A13" s="36" t="inlineStr">
        <is>
          <t>Отмечать внесённые платежи, пересчитывать план после досрочки или изменения ставки, выгружать даты платежей в календарь, читать график банка из PDF. Это делает бесплатное приложение Погашу — те же формулы: отметили платёж — план пересчитался.</t>
        </is>
      </c>
    </row>
    <row r="14">
      <c r="A14" s="37" t="inlineStr">
        <is>
          <t>https://pogashu.ru/?utm_source=xlsx&amp;utm_medium=template</t>
        </is>
      </c>
    </row>
    <row r="15">
      <c r="A15" s="36" t="inlineStr"/>
    </row>
    <row r="16">
      <c r="A16" s="38" t="inlineStr">
        <is>
          <t>Таблица — калькулятор, а не финансовый совет. Условия конкретного кредита смотрите в своём договоре.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Погашу</dc:creator>
  <dc:title>Таблица погашения долгов: снежный ком и лавина</dc:title>
  <dcterms:created xsi:type="dcterms:W3CDTF">2026-09-30T10:02:21Z</dcterms:created>
  <dcterms:modified xsi:type="dcterms:W3CDTF">2026-09-30T10:02:21Z</dcterms:modified>
</cp:coreProperties>
</file>